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autoCompressPictures="0"/>
  <workbookProtection workbookAlgorithmName="SHA-512" workbookHashValue="0x5uFPcrb8s73dYP3YKvANKqm2AnGP6Kd9bK7HSuZeQZw5x1rNqHZkfUZZoqLZBqeZrVP4QbekLPWfZ2Tb8gPg==" workbookSaltValue="hAkqLxSCkaHf1J3qTL/zTw==" workbookSpinCount="100000" lockStructure="1"/>
  <bookViews>
    <workbookView xWindow="57480" yWindow="-120" windowWidth="24240" windowHeight="13140"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45621"/>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 i="5" l="1"/>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G56" i="6" l="1"/>
  <c r="B56" i="6" s="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G53" i="6"/>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c r="H10" i="6" s="1"/>
  <c r="D10" i="6" s="1"/>
  <c r="B9" i="6"/>
  <c r="G9" i="6" s="1"/>
  <c r="H9" i="6" s="1"/>
  <c r="D9" i="6" s="1"/>
  <c r="B8" i="6"/>
  <c r="G8" i="6" s="1"/>
  <c r="H8" i="6" s="1"/>
  <c r="D8" i="6" s="1"/>
  <c r="B7" i="6"/>
  <c r="G7" i="6" s="1"/>
  <c r="H7" i="6" s="1"/>
  <c r="D7" i="6" s="1"/>
  <c r="B4" i="6"/>
  <c r="G4" i="6"/>
  <c r="H4" i="6"/>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55"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0" i="6" l="1"/>
  <c r="C13" i="6"/>
  <c r="C11" i="6"/>
  <c r="C9" i="6"/>
  <c r="C8" i="6"/>
  <c r="C7"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S5" i="5"/>
  <c r="T5" i="5"/>
  <c r="X5" i="5" l="1"/>
  <c r="G61" i="6" s="1"/>
  <c r="H61" i="6" l="1"/>
  <c r="C61" i="6"/>
</calcChain>
</file>

<file path=xl/comments1.xml><?xml version="1.0" encoding="utf-8"?>
<comments xmlns="http://schemas.openxmlformats.org/spreadsheetml/2006/main">
  <authors>
    <author>Connors, Jared M</author>
  </authors>
  <commentList>
    <comment ref="J129"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<sst xmlns="http://schemas.openxmlformats.org/spreadsheetml/2006/main" count="17139" uniqueCount="14075">
  <si>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</si>
  <si>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</si>
  <si>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</si>
  <si>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</si>
  <si>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</si>
  <si>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</si>
  <si>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</si>
  <si>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</si>
  <si>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</si>
  <si>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</si>
  <si>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</si>
  <si>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</si>
  <si>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</si>
  <si>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</si>
  <si>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</si>
  <si>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</si>
  <si>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</si>
  <si>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</si>
  <si>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</si>
  <si>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</si>
  <si>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</si>
  <si>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</si>
  <si>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</si>
  <si>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</si>
  <si>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</si>
  <si>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</si>
  <si>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</si>
  <si>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</si>
  <si>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</si>
  <si>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</si>
  <si>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</si>
  <si>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</si>
  <si>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</si>
  <si>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</si>
  <si>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</si>
  <si>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</si>
  <si>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</si>
  <si>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</si>
  <si>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</si>
  <si>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</si>
  <si>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</si>
  <si>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</si>
  <si>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</si>
  <si>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</si>
  <si>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</si>
  <si>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</si>
  <si>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</si>
  <si>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</si>
  <si>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</si>
  <si>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</si>
  <si>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</si>
  <si>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</si>
  <si>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</si>
  <si>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</si>
  <si>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</si>
  <si>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</si>
  <si>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</si>
  <si>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</si>
  <si>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</si>
  <si>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</si>
  <si>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</si>
  <si>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</si>
  <si>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</si>
  <si>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</si>
  <si>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</si>
  <si>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</si>
  <si>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</si>
  <si>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</si>
  <si>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</si>
  <si>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</si>
  <si>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</si>
  <si>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</si>
  <si>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</si>
  <si>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</si>
  <si>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</si>
  <si>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</si>
  <si>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</si>
  <si>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</si>
  <si>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</si>
  <si>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</si>
  <si>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</si>
  <si>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</si>
  <si>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</si>
  <si>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</si>
  <si>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</si>
  <si>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</si>
  <si>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</si>
  <si>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</si>
  <si>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</si>
  <si>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</si>
  <si>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</si>
  <si>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</si>
  <si>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</si>
  <si>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</si>
  <si>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</si>
  <si>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</si>
  <si>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</si>
  <si>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</si>
  <si>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</si>
  <si>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</si>
  <si>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</si>
  <si>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</si>
  <si>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</si>
  <si>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</si>
  <si>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</si>
  <si>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</si>
  <si>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</si>
  <si>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</si>
  <si>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</si>
  <si>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</si>
  <si>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</si>
  <si>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</si>
  <si>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</si>
  <si>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</si>
  <si>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</si>
  <si>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</si>
  <si>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</si>
  <si>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</si>
  <si>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</si>
  <si>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</si>
  <si>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</si>
  <si>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</si>
  <si>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</si>
  <si>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</si>
  <si>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</si>
  <si>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</si>
  <si>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</si>
  <si>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</si>
  <si>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</si>
  <si>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</si>
  <si>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</si>
  <si>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</si>
  <si>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</si>
  <si>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</si>
  <si>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</si>
  <si>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</si>
  <si>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</si>
  <si>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</si>
  <si>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</si>
  <si>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</si>
  <si>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</si>
  <si>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</si>
  <si>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</si>
  <si>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</si>
  <si>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</si>
  <si>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</si>
  <si>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</si>
  <si>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</si>
  <si>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</si>
  <si>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</si>
  <si>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</si>
  <si>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</si>
  <si>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</si>
  <si>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</si>
  <si>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</si>
  <si>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</si>
  <si>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</si>
  <si>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</si>
  <si>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</si>
  <si>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</si>
  <si>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</si>
  <si>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</si>
  <si>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</si>
  <si>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</si>
  <si>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</si>
  <si>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</si>
  <si>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</si>
  <si>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</si>
  <si>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</si>
  <si>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</si>
  <si>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</si>
  <si>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</si>
  <si>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</si>
  <si>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</si>
  <si>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</si>
  <si>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</si>
  <si>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</si>
  <si>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</si>
  <si>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</si>
  <si>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</si>
  <si>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</si>
  <si>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</si>
  <si>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</si>
  <si>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</si>
  <si>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</si>
  <si>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</si>
  <si>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</si>
  <si>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</si>
  <si>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</si>
  <si>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</si>
  <si>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</si>
  <si>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</si>
  <si>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</si>
  <si>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</si>
  <si>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</si>
  <si>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</si>
  <si>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</si>
  <si>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</si>
  <si>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</si>
  <si>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</si>
  <si>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</si>
  <si>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</si>
  <si>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</si>
  <si>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</si>
  <si>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</si>
  <si>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</si>
  <si>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</si>
  <si>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</si>
  <si>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</si>
  <si>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</si>
  <si>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</si>
  <si>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</si>
  <si>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</si>
  <si>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</si>
  <si>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</si>
  <si>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</si>
  <si>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</si>
  <si>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</si>
  <si>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</si>
  <si>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</si>
  <si>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</si>
  <si>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</si>
  <si>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</si>
  <si>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</si>
  <si>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</si>
  <si>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</si>
  <si>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</si>
  <si>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</si>
  <si>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</si>
  <si>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</si>
  <si>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</si>
  <si>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</si>
  <si>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</si>
  <si>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</si>
  <si>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</si>
  <si>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</si>
  <si>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</si>
  <si>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</si>
  <si>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</si>
  <si>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</si>
  <si>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</si>
  <si>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</si>
  <si>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</si>
  <si>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</si>
  <si>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</si>
  <si>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</si>
  <si>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</si>
  <si>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</si>
  <si>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</si>
  <si>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</si>
  <si>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</si>
  <si>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</si>
  <si>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</si>
  <si>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</si>
  <si>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</si>
  <si>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</si>
  <si>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</si>
  <si>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</si>
  <si>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</si>
  <si>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</si>
  <si>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</si>
  <si>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</si>
  <si>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</si>
  <si>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</si>
  <si>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</si>
  <si>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</si>
  <si>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</si>
  <si>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</si>
  <si>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</si>
  <si>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</si>
  <si>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</si>
  <si>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</si>
  <si>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</si>
  <si>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</si>
  <si>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</si>
  <si>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</si>
  <si>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</si>
  <si>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</si>
  <si>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</si>
  <si>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</si>
  <si>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</si>
  <si>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</si>
  <si>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</si>
  <si>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</si>
  <si>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</si>
  <si>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</si>
  <si>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</si>
  <si>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</si>
  <si>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</si>
  <si>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</si>
  <si>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</si>
  <si>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</si>
  <si>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</si>
  <si>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</si>
  <si>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</si>
  <si>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</si>
  <si>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</si>
  <si>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</si>
  <si>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</si>
  <si>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</si>
  <si>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</si>
  <si>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</si>
  <si>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</si>
  <si>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</si>
  <si>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</si>
  <si>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</si>
  <si>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</si>
  <si>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</si>
  <si>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</si>
  <si>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</si>
  <si>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</si>
  <si>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</si>
  <si>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</si>
  <si>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</si>
  <si>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</si>
  <si>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</si>
  <si>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</si>
  <si>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</si>
  <si>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</si>
  <si>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</si>
  <si>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</si>
  <si>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</si>
  <si>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</si>
  <si>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</si>
  <si>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</si>
  <si>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</si>
  <si>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</si>
  <si>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</si>
  <si>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</si>
  <si>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</si>
  <si>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</si>
  <si>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</si>
  <si>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</si>
  <si>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</si>
  <si>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</si>
  <si>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</si>
  <si>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</si>
  <si>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</si>
  <si>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</si>
  <si>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</si>
  <si>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</si>
  <si>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</si>
  <si>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</si>
  <si>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</si>
  <si>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</si>
  <si>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</si>
  <si>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</si>
  <si>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</si>
  <si>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</si>
  <si>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</si>
  <si>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</si>
  <si>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</si>
  <si>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</si>
  <si>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</si>
  <si>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</si>
  <si>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</si>
  <si>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</si>
  <si>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</si>
  <si>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</si>
  <si>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</si>
  <si>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</si>
  <si>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</si>
  <si>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</si>
  <si>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</si>
  <si>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</si>
  <si>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</si>
  <si>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</si>
  <si>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</si>
  <si>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</si>
  <si>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</si>
  <si>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</si>
  <si>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</si>
  <si>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</si>
  <si>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</si>
  <si>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</si>
  <si>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</si>
  <si>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</si>
  <si>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</si>
  <si>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</si>
  <si>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</si>
  <si>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</si>
  <si>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</si>
  <si>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</si>
  <si>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</si>
  <si>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</si>
  <si>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</si>
  <si>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</si>
  <si>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</si>
  <si>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</si>
  <si>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</si>
  <si>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</si>
  <si>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</si>
  <si>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</si>
  <si>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</si>
  <si>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</si>
  <si>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</si>
  <si>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</si>
  <si>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</si>
  <si>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</si>
  <si>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</si>
  <si>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</si>
  <si>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</si>
  <si>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</si>
  <si>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</si>
  <si>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</si>
  <si>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</si>
  <si>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</si>
  <si>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</si>
  <si>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</si>
  <si>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</si>
  <si>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</si>
  <si>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</si>
  <si>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</si>
  <si>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</si>
  <si>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</si>
  <si>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</si>
  <si>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</si>
  <si>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</si>
  <si>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</si>
  <si>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</si>
  <si>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</si>
  <si>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</si>
  <si>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</si>
  <si>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</si>
  <si>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</si>
  <si>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</si>
  <si>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</si>
  <si>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</si>
  <si>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</si>
  <si>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</si>
  <si>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</si>
  <si>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</si>
  <si>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</si>
  <si>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</si>
  <si>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</si>
  <si>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</si>
  <si>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</si>
  <si>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</si>
  <si>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</si>
  <si>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</si>
  <si>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</si>
  <si>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</si>
  <si>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</si>
  <si>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</si>
  <si>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</si>
  <si>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</si>
  <si>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</si>
  <si>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</si>
  <si>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</si>
  <si>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</si>
  <si>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</si>
  <si>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</si>
  <si>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</si>
  <si>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</si>
  <si>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</si>
  <si>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</si>
  <si>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</si>
  <si>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</si>
  <si>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</si>
  <si>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</si>
  <si>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</si>
  <si>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</si>
  <si>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</si>
  <si>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</si>
  <si>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</si>
  <si>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</si>
  <si>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</si>
  <si>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</si>
  <si>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</si>
  <si>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</si>
  <si>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</si>
  <si>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</si>
  <si>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</si>
  <si>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</si>
  <si>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</si>
  <si>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</si>
  <si>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</si>
  <si>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</si>
  <si>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</si>
  <si>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</si>
  <si>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</si>
  <si>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</si>
  <si>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</si>
  <si>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</si>
  <si>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</si>
  <si>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</si>
  <si>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</si>
  <si>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</si>
  <si>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</si>
  <si>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</si>
  <si>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</si>
  <si>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</si>
  <si>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</si>
  <si>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</si>
  <si>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</si>
  <si>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</si>
  <si>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</si>
  <si>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</si>
  <si>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</si>
  <si>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</si>
  <si>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</si>
  <si>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</si>
  <si>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</si>
  <si>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</si>
  <si>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</si>
  <si>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</si>
  <si>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</si>
  <si>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</si>
  <si>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</si>
  <si>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</si>
  <si>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</si>
  <si>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</si>
  <si>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</si>
  <si>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</si>
  <si>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</si>
  <si>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</si>
  <si>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</si>
  <si>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</si>
  <si>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</si>
  <si>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</si>
  <si>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</si>
  <si>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</si>
  <si>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</si>
  <si>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</si>
  <si>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</si>
  <si>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</si>
  <si>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</si>
  <si>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</si>
  <si>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</si>
  <si>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</si>
  <si>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</si>
  <si>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</si>
  <si>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</si>
  <si>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</si>
  <si>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</si>
  <si>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</si>
  <si>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</si>
  <si>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</si>
  <si>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</si>
  <si>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</si>
  <si>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</si>
  <si>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</si>
  <si>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</si>
  <si>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</si>
  <si>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</si>
  <si>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</si>
  <si>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</si>
  <si>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</si>
  <si>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</si>
  <si>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</si>
  <si>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</si>
  <si>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</si>
  <si>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</si>
  <si>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</si>
  <si>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</si>
  <si>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</si>
  <si>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</si>
  <si>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</si>
  <si>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</si>
  <si>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</si>
  <si>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</si>
  <si>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</si>
  <si>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</si>
  <si>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</si>
  <si>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</si>
  <si>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</si>
  <si>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</si>
  <si>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</si>
  <si>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</si>
  <si>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</si>
  <si>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</si>
  <si>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</si>
  <si>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</si>
  <si>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</si>
  <si>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</si>
  <si>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</si>
  <si>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</si>
  <si>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</si>
  <si>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</si>
  <si>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</si>
  <si>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</si>
  <si>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</si>
  <si>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</si>
  <si>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</si>
  <si>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</si>
  <si>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</si>
  <si>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</si>
  <si>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</si>
  <si>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</si>
  <si>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</si>
  <si>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</si>
  <si>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</si>
  <si>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</si>
  <si>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</si>
  <si>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</si>
  <si>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</si>
  <si>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</si>
  <si>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</si>
  <si>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</si>
  <si>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</si>
  <si>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</si>
  <si>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</si>
  <si>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</si>
  <si>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</si>
  <si>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</si>
  <si>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</si>
  <si>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</si>
  <si>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</si>
  <si>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</si>
  <si>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</si>
  <si>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</si>
  <si>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</si>
  <si>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</si>
  <si>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</si>
  <si>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</si>
  <si>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</si>
  <si>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</si>
  <si>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</si>
  <si>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</si>
  <si>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</si>
  <si>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</si>
  <si>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</si>
  <si>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</si>
  <si>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</si>
  <si>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</si>
  <si>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</si>
  <si>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</si>
  <si>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</si>
  <si>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</si>
  <si>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</si>
  <si>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</si>
  <si>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</si>
  <si>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</si>
  <si>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</si>
  <si>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</si>
  <si>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</si>
  <si>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</si>
  <si>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</si>
  <si>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</si>
  <si>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</si>
  <si>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</si>
  <si>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</si>
  <si>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</si>
  <si>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</si>
  <si>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</si>
  <si>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</si>
  <si>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</si>
  <si>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</si>
  <si>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</si>
  <si>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</si>
  <si>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</si>
  <si>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</si>
  <si>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</si>
  <si>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</si>
  <si>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</si>
  <si>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</si>
  <si>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</si>
  <si>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</si>
  <si>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</si>
  <si>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</si>
  <si>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</si>
  <si>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</si>
  <si>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</si>
  <si>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</si>
  <si>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</si>
  <si>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</si>
  <si>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</si>
  <si>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</si>
  <si>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</si>
  <si>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</si>
  <si>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</si>
  <si>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</si>
  <si>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</si>
  <si>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</si>
  <si>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</si>
  <si>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</si>
  <si>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</si>
  <si>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</si>
  <si>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</si>
  <si>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</si>
  <si>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</si>
  <si>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</si>
  <si>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</si>
  <si>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</si>
  <si>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</si>
  <si>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</si>
  <si>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</si>
  <si>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</si>
  <si>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</si>
  <si>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</si>
  <si>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</si>
  <si>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</si>
  <si>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</si>
  <si>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</si>
  <si>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</si>
  <si>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</si>
  <si>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</si>
  <si>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</si>
  <si>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</si>
  <si>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</si>
  <si>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</si>
  <si>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</si>
  <si>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</si>
  <si>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</si>
  <si>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</si>
  <si>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</si>
  <si>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</si>
  <si>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</si>
  <si>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</si>
  <si>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</si>
  <si>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</si>
  <si>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</si>
  <si>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</si>
  <si>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</si>
  <si>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</si>
  <si>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</si>
  <si>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</si>
  <si>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</si>
  <si>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</si>
  <si>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</si>
  <si>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</si>
  <si>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</si>
  <si>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</si>
  <si>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</si>
  <si>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</si>
  <si>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</si>
  <si>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</si>
  <si>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</si>
  <si>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</si>
  <si>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</si>
  <si>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</si>
  <si>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</si>
  <si>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</si>
  <si>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</si>
  <si>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</si>
  <si>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</si>
  <si>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</si>
  <si>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</si>
  <si>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</si>
  <si>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</si>
  <si>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</si>
  <si>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</si>
  <si>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</si>
  <si>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</si>
  <si>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</si>
  <si>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</si>
  <si>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</si>
  <si>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</si>
  <si>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</si>
  <si>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</si>
  <si>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</si>
  <si>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</si>
  <si>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</si>
  <si>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</si>
  <si>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</si>
  <si>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</si>
  <si>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</si>
  <si>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</si>
  <si>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</si>
  <si>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</si>
  <si>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</si>
  <si>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</si>
  <si>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</si>
  <si>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</si>
  <si>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</si>
  <si>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</si>
  <si>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</si>
  <si>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</si>
  <si>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</si>
  <si>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</si>
  <si>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</si>
  <si>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</si>
  <si>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</si>
  <si>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</si>
  <si>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</si>
  <si>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</si>
  <si>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</si>
  <si>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</si>
  <si>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</si>
  <si>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</si>
  <si>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</si>
  <si>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</si>
  <si>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</si>
  <si>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</si>
  <si>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</si>
  <si>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</si>
  <si>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</si>
  <si>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</si>
  <si>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</si>
  <si>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</si>
  <si>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</si>
  <si>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</si>
  <si>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</si>
  <si>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</si>
  <si>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</si>
  <si>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</si>
  <si>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</si>
  <si>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</si>
  <si>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</si>
  <si>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</si>
  <si>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</si>
  <si>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</si>
  <si>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</si>
  <si>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</si>
  <si>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</si>
  <si>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</si>
  <si>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</si>
  <si>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</si>
  <si>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</si>
  <si>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</si>
  <si>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</si>
  <si>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</si>
  <si>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</si>
  <si>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</si>
  <si>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</si>
  <si>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</si>
  <si>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</si>
  <si>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</si>
  <si>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</si>
  <si>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</si>
  <si>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</si>
  <si>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</si>
  <si>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</si>
  <si>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</si>
  <si>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</si>
  <si>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</si>
  <si>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</si>
  <si>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</si>
  <si>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</si>
  <si>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</si>
  <si>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</si>
  <si>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</si>
  <si>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</si>
  <si>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</si>
  <si>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</si>
  <si>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</si>
  <si>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</si>
  <si>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</si>
  <si>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</si>
  <si>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</si>
  <si>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</si>
  <si>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</si>
  <si>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</si>
  <si>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</si>
  <si>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</si>
  <si>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</si>
  <si>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</si>
  <si>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</si>
  <si>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</si>
  <si>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</si>
  <si>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</si>
  <si>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</si>
  <si>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</si>
  <si>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</si>
  <si>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</si>
  <si>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</si>
  <si>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</si>
  <si>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</si>
  <si>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</si>
  <si>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</si>
  <si>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</si>
  <si>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</si>
  <si>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</si>
  <si>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</si>
  <si>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</si>
  <si>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</si>
  <si>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</si>
  <si>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</si>
  <si>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</si>
  <si>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</si>
  <si>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</si>
  <si>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</si>
  <si>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</si>
  <si>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</si>
  <si>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</si>
  <si>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</si>
  <si>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</si>
  <si>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</si>
  <si>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</si>
  <si>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</si>
  <si>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</si>
  <si>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</si>
  <si>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</si>
  <si>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</si>
  <si>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</si>
  <si>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</si>
  <si>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</si>
  <si>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</si>
  <si>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</si>
  <si>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</si>
  <si>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</si>
  <si>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</si>
  <si>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</si>
  <si>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</si>
  <si>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</si>
  <si>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</si>
  <si>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</si>
  <si>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</si>
  <si>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</si>
  <si>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</si>
  <si>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</si>
  <si>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</si>
  <si>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</si>
  <si>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</si>
  <si>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</si>
  <si>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</si>
  <si>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</si>
  <si>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</si>
  <si>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</si>
  <si>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</si>
  <si>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</si>
  <si>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</si>
  <si>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</si>
  <si>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</si>
  <si>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</si>
  <si>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</si>
  <si>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</si>
  <si>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</si>
  <si>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</si>
  <si>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</si>
  <si>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</si>
  <si>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</si>
  <si>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</si>
  <si>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</si>
  <si>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</si>
  <si>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</si>
  <si>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</si>
  <si>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</si>
  <si>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</si>
  <si>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</si>
  <si>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</si>
  <si>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</si>
  <si>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</si>
  <si>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</si>
  <si>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</si>
  <si>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</si>
  <si>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</si>
  <si>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</si>
  <si>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</si>
  <si>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</si>
  <si>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</si>
  <si>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</si>
  <si>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</si>
  <si>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</si>
  <si>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</si>
  <si>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</si>
  <si>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</si>
  <si>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</si>
  <si>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</si>
  <si>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</si>
  <si>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</si>
  <si>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</si>
  <si>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</si>
  <si>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</si>
  <si>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</si>
  <si>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</si>
  <si>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</si>
  <si>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</si>
  <si>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</si>
  <si>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</si>
  <si>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</si>
  <si>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</si>
  <si>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</si>
  <si>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</si>
  <si>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</si>
  <si>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</si>
  <si>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</si>
  <si>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</si>
  <si>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</si>
  <si>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</si>
  <si>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</si>
  <si>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</si>
  <si>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</si>
  <si>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</si>
  <si>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</si>
  <si>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</si>
  <si>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</si>
  <si>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</si>
  <si>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</si>
  <si>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</si>
  <si>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</si>
  <si>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</si>
  <si>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</si>
  <si>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</si>
  <si>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</si>
  <si>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</si>
  <si>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</si>
  <si>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</si>
  <si>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</si>
  <si>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</si>
  <si>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</si>
  <si>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</si>
  <si>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</si>
  <si>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</si>
  <si>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</si>
  <si>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</si>
  <si>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</si>
  <si>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</si>
  <si>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</si>
  <si>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</si>
  <si>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</si>
  <si>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</si>
  <si>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</si>
  <si>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</si>
  <si>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</si>
  <si>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</si>
  <si>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</si>
  <si>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</si>
  <si>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</si>
  <si>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</si>
  <si>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</si>
  <si>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</si>
  <si>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</si>
  <si>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</si>
  <si>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</si>
  <si>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</si>
  <si>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</si>
  <si>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</si>
  <si>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</si>
  <si>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</si>
  <si>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</si>
  <si>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</si>
  <si>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</si>
  <si>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</si>
  <si>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</si>
  <si>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</si>
  <si>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</si>
  <si>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</si>
  <si>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</si>
  <si>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</si>
  <si>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</si>
  <si>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</si>
  <si>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</si>
  <si>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</si>
  <si>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</si>
  <si>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</si>
  <si>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</si>
  <si>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</si>
  <si>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</si>
  <si>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</si>
  <si>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</si>
  <si>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</si>
  <si>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</si>
  <si>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</si>
  <si>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</si>
  <si>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</si>
  <si>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</si>
  <si>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</si>
  <si>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</si>
  <si>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</si>
  <si>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</si>
  <si>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</si>
  <si>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</si>
  <si>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</si>
  <si>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</si>
  <si>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</si>
  <si>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</si>
  <si>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</si>
  <si>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</si>
  <si>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</si>
  <si>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</si>
  <si>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</si>
  <si>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</si>
  <si>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</si>
  <si>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</si>
  <si>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</si>
  <si>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</si>
  <si>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</si>
  <si>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</si>
  <si>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</si>
  <si>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</si>
  <si>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</si>
  <si>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</si>
  <si>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</si>
  <si>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</si>
  <si>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</si>
  <si>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</si>
  <si>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</si>
  <si>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</si>
  <si>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</si>
  <si>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</si>
  <si>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</si>
  <si>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</si>
  <si>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</si>
  <si>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</si>
  <si>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</si>
  <si>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</si>
  <si>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</si>
  <si>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</si>
  <si>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</si>
  <si>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</si>
  <si>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</si>
  <si>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</si>
  <si>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</si>
  <si>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</si>
  <si>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</si>
  <si>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</si>
  <si>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</si>
  <si>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</si>
  <si>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</si>
  <si>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</si>
  <si>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</si>
  <si>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</si>
  <si>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</si>
  <si>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</si>
  <si>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</si>
  <si>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</si>
  <si>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</si>
  <si>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</si>
  <si>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</si>
  <si>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</si>
  <si>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</si>
  <si>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</si>
  <si>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</si>
  <si>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</si>
  <si>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</si>
  <si>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</si>
  <si>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</si>
  <si>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</si>
  <si>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</si>
  <si>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</si>
  <si>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</si>
  <si>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</si>
  <si>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</si>
  <si>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</si>
  <si>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</si>
  <si>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</si>
  <si>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</si>
  <si>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</si>
  <si>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</si>
  <si>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</si>
  <si>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</si>
  <si>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</si>
  <si>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</si>
  <si>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</si>
  <si>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</si>
  <si>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</si>
  <si>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</si>
  <si>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</si>
  <si>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</si>
  <si>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</si>
  <si>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</si>
  <si>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</si>
  <si>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</si>
  <si>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</si>
  <si>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</si>
  <si>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</si>
  <si>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</si>
  <si>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</si>
  <si>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</si>
  <si>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</si>
  <si>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</si>
  <si>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</si>
  <si>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</si>
  <si>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</si>
  <si>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</si>
  <si>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</si>
  <si>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</si>
  <si>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</si>
  <si>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</si>
  <si>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</si>
  <si>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</si>
  <si>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</si>
  <si>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</si>
  <si>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</si>
  <si>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</si>
  <si>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</si>
  <si>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</si>
  <si>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</si>
  <si>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</si>
  <si>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</si>
  <si>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</si>
  <si>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</si>
  <si>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</si>
  <si>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</si>
  <si>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</si>
  <si>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</si>
  <si>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</si>
  <si>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</si>
  <si>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</si>
  <si>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</si>
  <si>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</si>
  <si>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</si>
  <si>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</si>
  <si>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</si>
  <si>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</si>
  <si>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</si>
  <si>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</si>
  <si>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</si>
  <si>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</si>
  <si>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</si>
  <si>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</si>
  <si>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</si>
  <si>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</si>
  <si>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</si>
  <si>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</si>
  <si>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</si>
  <si>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</si>
  <si>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</si>
  <si>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</si>
  <si>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</si>
  <si>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</si>
  <si>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</si>
  <si>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</si>
  <si>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</si>
  <si>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</si>
  <si>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</si>
  <si>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</si>
  <si>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</si>
  <si>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</si>
  <si>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</si>
  <si>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</si>
  <si>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</si>
  <si>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</si>
  <si>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</si>
  <si>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</si>
  <si>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</si>
  <si>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</si>
  <si>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</si>
  <si>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</si>
  <si>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</si>
  <si>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</si>
  <si>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</si>
  <si>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</si>
  <si>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</si>
  <si>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</si>
  <si>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</si>
  <si>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</si>
  <si>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</si>
  <si>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</si>
  <si>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</si>
  <si>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</si>
  <si>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</si>
  <si>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</si>
  <si>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</si>
  <si>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</si>
  <si>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</si>
  <si>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</si>
  <si>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</si>
  <si>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</si>
  <si>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</si>
  <si>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</si>
  <si>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</si>
  <si>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</si>
  <si>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</si>
  <si>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</si>
  <si>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</si>
  <si>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</si>
  <si>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</si>
  <si>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</si>
  <si>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</si>
  <si>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</si>
  <si>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</si>
  <si>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</si>
  <si>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</si>
  <si>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</si>
  <si>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</si>
  <si>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</si>
  <si>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</si>
  <si>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</si>
  <si>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</si>
  <si>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</si>
  <si>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</si>
  <si>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</si>
  <si>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</si>
  <si>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</si>
  <si>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</si>
  <si>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</si>
  <si>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</si>
  <si>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</si>
  <si>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</si>
  <si>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</si>
  <si>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</si>
  <si>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</si>
  <si>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</si>
  <si>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</si>
  <si>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</si>
  <si>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</si>
  <si>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</si>
  <si>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</si>
  <si>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</si>
  <si>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</si>
  <si>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</si>
  <si>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</si>
  <si>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</si>
  <si>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</si>
  <si>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</si>
  <si>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</si>
  <si>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</si>
  <si>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</si>
  <si>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</si>
  <si>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</si>
  <si>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</si>
  <si>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</si>
  <si>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</si>
  <si>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</si>
  <si>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</si>
  <si>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</si>
  <si>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</si>
  <si>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</si>
  <si>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</si>
  <si>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</si>
  <si>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</si>
  <si>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</si>
  <si>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</si>
  <si>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</si>
  <si>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</si>
  <si>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</si>
  <si>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</si>
  <si>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</si>
  <si>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</si>
  <si>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</si>
  <si>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</si>
  <si>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</si>
  <si>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</si>
  <si>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</si>
  <si>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</si>
  <si>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</si>
  <si>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</si>
  <si>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</si>
  <si>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</si>
  <si>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</si>
  <si>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</si>
  <si>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</si>
  <si>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</si>
  <si>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</si>
  <si>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</si>
  <si>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</si>
  <si>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</si>
  <si>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</si>
  <si>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</si>
  <si>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</si>
  <si>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</si>
  <si>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</si>
  <si>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</si>
  <si>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</si>
  <si>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</si>
  <si>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</si>
  <si>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</si>
  <si>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</si>
  <si>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</si>
  <si>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</si>
  <si>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</si>
  <si>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</si>
  <si>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</si>
  <si>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</si>
  <si>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</si>
  <si>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</si>
  <si>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</si>
  <si>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</si>
  <si>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</si>
  <si>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</si>
  <si>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</si>
  <si>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</si>
  <si>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</si>
  <si>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</si>
  <si>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</si>
  <si>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</si>
  <si>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</si>
  <si>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</si>
  <si>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</si>
  <si>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</si>
  <si>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</si>
  <si>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</si>
  <si>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</si>
  <si>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</si>
  <si>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</si>
  <si>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</si>
  <si>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</si>
  <si>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</si>
  <si>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</si>
  <si>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</si>
  <si>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</si>
  <si>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</si>
  <si>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</si>
  <si>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</si>
  <si>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</si>
  <si>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</si>
  <si>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</si>
  <si>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</si>
  <si>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</si>
  <si>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</si>
  <si>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</si>
  <si>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</si>
  <si>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</si>
  <si>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</si>
  <si>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</si>
  <si>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</si>
  <si>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</si>
  <si>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</si>
  <si>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</si>
  <si>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</si>
  <si>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</si>
  <si>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</si>
  <si>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</si>
  <si>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</si>
  <si>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</si>
  <si>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</si>
  <si>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</si>
  <si>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</si>
  <si>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</si>
  <si>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</si>
  <si>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</si>
  <si>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</si>
  <si>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</si>
  <si>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</si>
  <si>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</si>
  <si>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</si>
  <si>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</si>
  <si>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</si>
  <si>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</si>
  <si>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</si>
  <si>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</si>
  <si>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</si>
  <si>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</si>
  <si>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</si>
  <si>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</si>
  <si>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</si>
  <si>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</si>
  <si>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</si>
  <si>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</si>
  <si>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</si>
  <si>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</si>
  <si>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</si>
  <si>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</si>
  <si>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</si>
  <si>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</si>
  <si>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</si>
  <si>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</si>
  <si>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</si>
  <si>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</si>
  <si>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</si>
  <si>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</si>
  <si>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</si>
  <si>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</si>
  <si>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</si>
  <si>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</si>
  <si>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</si>
  <si>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</si>
  <si>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</si>
  <si>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</si>
  <si>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</si>
  <si>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</si>
  <si>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</si>
  <si>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</si>
  <si>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</si>
  <si>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</si>
  <si>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</si>
  <si>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</si>
  <si>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</si>
  <si>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</si>
  <si>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</si>
  <si>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</si>
  <si>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</si>
  <si>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</si>
  <si>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</si>
  <si>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</si>
  <si>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</si>
  <si>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</si>
  <si>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</si>
  <si>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</si>
  <si>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</si>
  <si>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</si>
  <si>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</si>
  <si>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</si>
  <si>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</si>
  <si>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</si>
  <si>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</si>
  <si>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</si>
  <si>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</si>
  <si>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</si>
  <si>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</si>
  <si>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</si>
  <si>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</si>
  <si>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</si>
  <si>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</si>
  <si>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</si>
  <si>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</si>
  <si>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</si>
  <si>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</si>
  <si>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</si>
  <si>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</si>
  <si>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</si>
  <si>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</si>
  <si>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</si>
  <si>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</si>
  <si>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</si>
  <si>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</si>
  <si>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</si>
  <si>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</si>
  <si>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</si>
  <si>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</si>
  <si>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</si>
  <si>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</si>
  <si>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</si>
  <si>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</si>
  <si>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</si>
  <si>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</si>
  <si>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</si>
  <si>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</si>
  <si>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</si>
  <si>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</si>
  <si>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</si>
  <si>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</si>
  <si>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</si>
  <si>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</si>
  <si>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</si>
  <si>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</si>
  <si>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</si>
  <si>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</si>
  <si>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</si>
  <si>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</si>
  <si>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</si>
  <si>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</si>
  <si>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</si>
  <si>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</si>
  <si>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</si>
  <si>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</si>
  <si>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</si>
  <si>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</si>
  <si>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</si>
  <si>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</si>
  <si>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</si>
  <si>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</si>
  <si>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</si>
  <si>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</si>
  <si>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</si>
  <si>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</si>
  <si>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</si>
  <si>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</si>
  <si>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</si>
  <si>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</si>
  <si>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</si>
  <si>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</si>
  <si>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</si>
  <si>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</si>
  <si>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</si>
  <si>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</si>
  <si>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</si>
  <si>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</si>
  <si>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</si>
  <si>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</si>
  <si>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</si>
  <si>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</si>
  <si>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</si>
  <si>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</si>
  <si>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</si>
  <si>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</si>
  <si>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</si>
  <si>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</si>
  <si>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</si>
  <si>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</si>
  <si>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</si>
  <si>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</si>
  <si>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</si>
  <si>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</si>
  <si>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</si>
  <si>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</si>
  <si>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</si>
  <si>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</si>
  <si>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</si>
  <si>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</si>
  <si>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</si>
  <si>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</si>
  <si>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</si>
  <si>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</si>
  <si>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</si>
  <si>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</si>
  <si>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</si>
  <si>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</si>
  <si>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</si>
  <si>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</si>
  <si>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</si>
  <si>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</si>
  <si>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</si>
  <si>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</si>
  <si>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</si>
  <si>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</si>
  <si>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</si>
  <si>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</si>
  <si>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</si>
  <si>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</si>
  <si>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</si>
  <si>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</si>
  <si>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</si>
  <si>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</si>
  <si>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</si>
  <si>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</si>
  <si>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</si>
  <si>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</si>
  <si>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</si>
  <si>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</si>
  <si>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</si>
  <si>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</si>
  <si>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</si>
  <si>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</si>
  <si>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</si>
  <si>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</si>
  <si>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</si>
  <si>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</si>
  <si>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</si>
  <si>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</si>
  <si>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</si>
  <si>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</si>
  <si>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</si>
  <si>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</si>
  <si>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</si>
  <si>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</si>
  <si>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</si>
  <si>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</si>
  <si>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</si>
  <si>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</si>
  <si>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</si>
  <si>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</si>
  <si>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</si>
  <si>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</si>
  <si>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</si>
  <si>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</si>
  <si>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</si>
  <si>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</si>
  <si>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</si>
  <si>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</si>
  <si>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</si>
  <si>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</si>
  <si>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</si>
  <si>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</si>
  <si>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</si>
  <si>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</si>
  <si>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</si>
  <si>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</si>
  <si>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</si>
  <si>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</si>
  <si>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</si>
  <si>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</si>
  <si>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</si>
  <si>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</si>
  <si>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</si>
  <si>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</si>
  <si>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</si>
  <si>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</si>
  <si>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</si>
  <si>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</si>
  <si>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</si>
  <si>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</si>
  <si>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</si>
  <si>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</si>
  <si>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</si>
  <si>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</si>
  <si>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</si>
  <si>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</si>
  <si>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</si>
  <si>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</si>
  <si>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</si>
  <si>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</si>
  <si>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</si>
  <si>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</si>
  <si>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</si>
  <si>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</si>
  <si>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</si>
  <si>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</si>
  <si>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</si>
  <si>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</si>
  <si>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</si>
  <si>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</si>
  <si>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</si>
  <si>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</si>
  <si>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</si>
  <si>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</si>
  <si>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</si>
  <si>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</si>
  <si>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</si>
  <si>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</si>
  <si>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</si>
  <si>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</si>
  <si>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</si>
  <si>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</si>
  <si>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</si>
  <si>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</si>
  <si>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</si>
  <si>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</si>
  <si>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</si>
  <si>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</si>
  <si>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</si>
  <si>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</si>
  <si>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</si>
  <si>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</si>
  <si>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</si>
  <si>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</si>
  <si>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</si>
  <si>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</si>
  <si>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</si>
  <si>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</si>
  <si>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</si>
  <si>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</si>
  <si>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</si>
  <si>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</si>
  <si>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</si>
  <si>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</si>
  <si>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</si>
  <si>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</si>
  <si>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</si>
  <si>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</si>
  <si>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</si>
  <si>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</si>
  <si>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</si>
  <si>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</si>
  <si>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</si>
  <si>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</si>
  <si>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</si>
  <si>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</si>
  <si>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</si>
  <si>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</si>
  <si>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</si>
  <si>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</si>
  <si>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</si>
  <si>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</si>
  <si>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</si>
  <si>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</si>
  <si>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</si>
  <si>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</si>
  <si>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</si>
  <si>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</si>
  <si>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</si>
  <si>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</si>
  <si>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</si>
  <si>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</si>
  <si>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</si>
  <si>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</si>
  <si>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</si>
  <si>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</si>
  <si>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</si>
  <si>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</si>
  <si>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</si>
  <si>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</si>
  <si>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</si>
  <si>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</si>
  <si>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</si>
  <si>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</si>
  <si>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</si>
  <si>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</si>
  <si>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</si>
  <si>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</si>
  <si>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</si>
  <si>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</si>
  <si>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</si>
  <si>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</si>
  <si>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</si>
  <si>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</si>
  <si>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</si>
  <si>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</si>
  <si>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</si>
  <si>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</si>
  <si>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</si>
  <si>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</si>
  <si>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</si>
  <si>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</si>
  <si>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</si>
  <si>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</si>
  <si>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</si>
  <si>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</si>
  <si>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</si>
  <si>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</si>
  <si>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</si>
  <si>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</si>
  <si>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</si>
  <si>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</si>
  <si>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</si>
  <si>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</si>
  <si>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</si>
  <si>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</si>
  <si>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</si>
  <si>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</si>
  <si>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</si>
  <si>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</si>
  <si>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</si>
  <si>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</si>
  <si>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</si>
  <si>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</si>
  <si>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</si>
  <si>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</si>
  <si>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</si>
  <si>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</si>
  <si>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</si>
  <si>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</si>
  <si>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</si>
  <si>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</si>
  <si>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</si>
  <si>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</si>
  <si>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</si>
  <si>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</si>
  <si>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</si>
  <si>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</si>
  <si>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</si>
  <si>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</si>
  <si>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</si>
  <si>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</si>
  <si>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</si>
  <si>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</si>
  <si>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</si>
  <si>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</si>
  <si>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</si>
  <si>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</si>
  <si>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</si>
  <si>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</si>
  <si>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</si>
  <si>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</si>
  <si>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</si>
  <si>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</si>
  <si>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</si>
  <si>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</si>
  <si>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</si>
  <si>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</si>
  <si>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</si>
  <si>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</si>
  <si>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</si>
  <si>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</si>
  <si>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</si>
  <si>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</si>
  <si>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</si>
  <si>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</si>
  <si>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</si>
  <si>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</si>
  <si>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</si>
  <si>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</si>
  <si>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</si>
  <si>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</si>
  <si>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</si>
  <si>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</si>
  <si>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</si>
  <si>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</si>
  <si>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</si>
  <si>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</si>
  <si>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</si>
  <si>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</si>
  <si>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</si>
  <si>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</si>
  <si>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</si>
  <si>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</si>
  <si>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</si>
  <si>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</si>
  <si>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</si>
  <si>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</si>
  <si>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</si>
  <si>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</si>
  <si>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</si>
  <si>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</si>
  <si>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</si>
  <si>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</si>
  <si>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</si>
  <si>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</si>
  <si>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</si>
  <si>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</si>
  <si>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</si>
  <si>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</si>
  <si>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</si>
  <si>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</si>
  <si>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</si>
  <si>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</si>
  <si>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</si>
  <si>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</si>
  <si>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</si>
  <si>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</si>
  <si>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</si>
  <si>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</si>
  <si>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</si>
  <si>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</si>
  <si>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</si>
  <si>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</si>
  <si>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</si>
  <si>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</si>
  <si>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</si>
  <si>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</si>
  <si>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</si>
  <si>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</si>
  <si>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</si>
  <si>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</si>
  <si>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</si>
  <si>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</si>
  <si>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</si>
  <si>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</si>
  <si>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</si>
  <si>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</si>
  <si>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</si>
  <si>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</si>
  <si>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</si>
  <si>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</si>
  <si>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</si>
  <si>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</si>
  <si>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</si>
  <si>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</si>
  <si>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</si>
  <si>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</si>
  <si>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</si>
  <si>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</si>
  <si>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</si>
  <si>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</si>
  <si>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</si>
  <si>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</si>
  <si>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</si>
  <si>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</si>
  <si>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</si>
  <si>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</si>
  <si>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</si>
  <si>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</si>
  <si>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</si>
  <si>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</si>
  <si>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</si>
  <si>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</si>
  <si>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</si>
  <si>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</si>
  <si>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</si>
  <si>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</si>
  <si>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</si>
  <si>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</si>
  <si>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</si>
  <si>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</si>
  <si>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</si>
  <si>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</si>
  <si>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</si>
  <si>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</si>
  <si>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</si>
  <si>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</si>
  <si>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</si>
  <si>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</si>
  <si>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</si>
  <si>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</si>
  <si>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</si>
  <si>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</si>
  <si>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</si>
  <si>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</si>
  <si>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</si>
  <si>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</si>
  <si>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</si>
  <si>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</si>
  <si>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</si>
  <si>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</si>
  <si>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</si>
  <si>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</si>
  <si>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</si>
  <si>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</si>
  <si>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</si>
  <si>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</si>
  <si>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</si>
  <si>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</si>
  <si>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</si>
  <si>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</si>
  <si>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</si>
  <si>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</si>
  <si>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</si>
  <si>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</si>
  <si>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</si>
  <si>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</si>
  <si>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</si>
  <si>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</si>
  <si>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</si>
  <si>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</si>
  <si>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</si>
  <si>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</si>
  <si>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</si>
  <si>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</si>
  <si>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</si>
  <si>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</si>
  <si>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</si>
  <si>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</si>
  <si>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</si>
  <si>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</si>
  <si>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</si>
  <si>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</si>
  <si>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</si>
  <si>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</si>
  <si>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</si>
  <si>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</si>
  <si>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</si>
  <si>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</si>
  <si>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</si>
  <si>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</si>
  <si>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</si>
  <si>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</si>
  <si>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</si>
  <si>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</si>
  <si>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</si>
  <si>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</si>
  <si>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</si>
  <si>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</si>
  <si>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</si>
  <si>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</si>
  <si>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</si>
  <si>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</si>
  <si>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</si>
  <si>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</si>
  <si>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</si>
  <si>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</si>
  <si>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</si>
  <si>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</si>
  <si>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</si>
  <si>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</si>
  <si>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</si>
  <si>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</si>
  <si>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</si>
  <si>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</si>
  <si>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</si>
  <si>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</si>
  <si>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</si>
  <si>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</si>
  <si>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</si>
  <si>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</si>
  <si>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</si>
  <si>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</si>
  <si>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</si>
  <si>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</si>
  <si>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</si>
  <si>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</si>
  <si>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</si>
  <si>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</si>
  <si>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</si>
  <si>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</si>
  <si>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</si>
  <si>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</si>
  <si>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</si>
  <si>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</si>
  <si>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</si>
  <si>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</si>
  <si>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</si>
  <si>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</si>
  <si>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</si>
  <si>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</si>
  <si>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</si>
  <si>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</si>
  <si>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</si>
  <si>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</si>
  <si>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</si>
  <si>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</si>
  <si>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</si>
  <si>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</si>
  <si>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</si>
  <si>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</si>
  <si>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</si>
  <si>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</si>
  <si>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</si>
  <si>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</si>
  <si>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</si>
  <si>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</si>
  <si>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</si>
  <si>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</si>
  <si>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</si>
  <si>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</si>
  <si>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</si>
  <si>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</si>
  <si>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</si>
  <si>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</si>
  <si>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</si>
  <si>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</si>
  <si>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</si>
  <si>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</si>
  <si>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</si>
  <si>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</si>
  <si>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</si>
  <si>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</si>
  <si>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</si>
  <si>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</si>
  <si>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</si>
  <si>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</si>
  <si>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</si>
  <si>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</si>
  <si>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</si>
  <si>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</si>
  <si>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</si>
  <si>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</si>
  <si>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</si>
  <si>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</si>
  <si>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</si>
  <si>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</si>
  <si>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</si>
  <si>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</si>
  <si>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</si>
  <si>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</si>
  <si>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</si>
  <si>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</si>
  <si>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</si>
  <si>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</si>
  <si>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</si>
  <si>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</si>
  <si>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</si>
  <si>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</si>
  <si>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</si>
  <si>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</si>
  <si>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</si>
  <si>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</si>
  <si>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</si>
  <si>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</si>
  <si>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</si>
  <si>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</si>
  <si>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</si>
  <si>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</si>
  <si>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</si>
  <si>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</si>
  <si>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</si>
  <si>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</si>
  <si>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</si>
  <si>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</si>
  <si>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</si>
  <si>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</si>
  <si>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</si>
  <si>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</si>
  <si>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</si>
  <si>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</si>
  <si>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</si>
  <si>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</si>
  <si>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</si>
  <si>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</si>
  <si>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</si>
  <si>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</si>
  <si>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</si>
  <si>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</si>
  <si>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</si>
  <si>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</si>
  <si>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</si>
  <si>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</si>
  <si>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</si>
  <si>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</si>
  <si>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</si>
  <si>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</si>
  <si>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</si>
  <si>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</si>
  <si>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</si>
  <si>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</si>
  <si>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</si>
  <si>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</si>
  <si>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</si>
  <si>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</si>
  <si>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</si>
  <si>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</si>
  <si>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</si>
  <si>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</si>
  <si>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</si>
  <si>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</si>
  <si>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</si>
  <si>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</si>
  <si>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</si>
  <si>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</si>
  <si>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</si>
  <si>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</si>
  <si>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</si>
  <si>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</si>
  <si>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</si>
  <si>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</si>
  <si>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</si>
  <si>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</si>
  <si>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</si>
  <si>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</si>
  <si>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</si>
  <si>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</si>
  <si>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</si>
  <si>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</si>
  <si>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</si>
  <si>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</si>
  <si>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</si>
  <si>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</si>
  <si>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</si>
  <si>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</si>
  <si>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</si>
  <si>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</si>
  <si>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</si>
  <si>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</si>
  <si>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</si>
  <si>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</si>
  <si>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</si>
  <si>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</si>
  <si>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</si>
  <si>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</si>
  <si>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</si>
  <si>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</si>
  <si>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</si>
  <si>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</si>
  <si>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</si>
  <si>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</si>
  <si>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</si>
  <si>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</si>
  <si>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</si>
  <si>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</si>
  <si>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</si>
  <si>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</si>
  <si>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</si>
  <si>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</si>
  <si>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</si>
  <si>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</si>
  <si>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</si>
  <si>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</si>
  <si>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</si>
  <si>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</si>
  <si>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</si>
  <si>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</si>
  <si>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</si>
  <si>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</si>
  <si>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</si>
  <si>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</si>
  <si>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</si>
  <si>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</si>
  <si>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</si>
  <si>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</si>
  <si>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</si>
  <si>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</si>
  <si>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</si>
  <si>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</si>
  <si>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</si>
  <si>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</si>
  <si>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</si>
  <si>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</si>
  <si>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</si>
  <si>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</si>
  <si>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</si>
  <si>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</si>
  <si>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</si>
  <si>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</si>
  <si>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</si>
  <si>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</si>
  <si>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</si>
  <si>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</si>
  <si>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</si>
  <si>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</si>
  <si>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</si>
  <si>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</si>
  <si>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</si>
  <si>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</si>
  <si>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</si>
  <si>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</si>
  <si>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</si>
  <si>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</si>
  <si>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</si>
  <si>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</si>
  <si>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</si>
  <si>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</si>
  <si>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</si>
  <si>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</si>
  <si>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</si>
  <si>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</si>
  <si>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</si>
  <si>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</si>
  <si>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</si>
  <si>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</si>
  <si>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</si>
  <si>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</si>
  <si>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</si>
  <si>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</si>
  <si>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</si>
  <si>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</si>
  <si>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</si>
  <si>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</si>
  <si>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</si>
  <si>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</si>
  <si>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</si>
  <si>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</si>
  <si>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</si>
  <si>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</si>
  <si>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</si>
  <si>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</si>
  <si>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</si>
  <si>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</si>
  <si>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</si>
  <si>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</si>
  <si>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</si>
  <si>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</si>
  <si>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</si>
  <si>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</si>
  <si>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</si>
  <si>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</si>
  <si>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</si>
  <si>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</si>
  <si>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</si>
  <si>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</si>
  <si>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</si>
  <si>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</si>
  <si>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</si>
  <si>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</si>
  <si>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</si>
  <si>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</si>
  <si>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</si>
  <si>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</si>
  <si>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</si>
  <si>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</si>
  <si>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</si>
  <si>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</si>
  <si>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</si>
  <si>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</si>
  <si>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</si>
  <si>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</si>
  <si>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</si>
  <si>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</si>
  <si>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</si>
  <si>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</si>
  <si>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</si>
  <si>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</si>
  <si>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</si>
  <si>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</si>
  <si>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</si>
  <si>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</si>
  <si>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</si>
  <si>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</si>
  <si>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</si>
  <si>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</si>
  <si>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</si>
  <si>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</si>
  <si>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</si>
  <si>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</si>
  <si>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</si>
  <si>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</si>
  <si>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</si>
  <si>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</si>
  <si>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</si>
  <si>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</si>
  <si>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</si>
  <si>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</si>
  <si>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</si>
  <si>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</si>
  <si>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</si>
  <si>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</si>
  <si>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</si>
  <si>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</si>
  <si>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</si>
  <si>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</si>
  <si>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</si>
  <si>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</si>
  <si>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</si>
  <si>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</si>
  <si>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</si>
  <si>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</si>
  <si>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</si>
  <si>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</si>
  <si>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</si>
  <si>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</si>
  <si>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</si>
  <si>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</si>
  <si>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</si>
  <si>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</si>
  <si>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</si>
  <si>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</si>
  <si>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</si>
  <si>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</si>
  <si>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</si>
  <si>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</si>
  <si>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</si>
  <si>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</si>
  <si>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</si>
  <si>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</si>
  <si>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</si>
  <si>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</si>
  <si>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</si>
  <si>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</si>
  <si>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</si>
  <si>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</si>
  <si>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</si>
  <si>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</si>
  <si>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</si>
  <si>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</si>
  <si>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</si>
  <si>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</si>
  <si>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</si>
  <si>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</si>
  <si>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</si>
  <si>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</si>
  <si>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</si>
  <si>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</si>
  <si>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</si>
  <si>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</si>
  <si>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</si>
  <si>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</si>
  <si>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</si>
  <si>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</si>
  <si>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</si>
  <si>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</si>
  <si>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</si>
  <si>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</si>
  <si>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</si>
  <si>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</si>
  <si>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</si>
  <si>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</si>
  <si>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</si>
  <si>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</si>
  <si>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</si>
  <si>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</si>
  <si>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</si>
  <si>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</si>
  <si>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</si>
  <si>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</si>
  <si>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</si>
  <si>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</si>
  <si>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</si>
  <si>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</si>
  <si>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</si>
  <si>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</si>
  <si>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</si>
  <si>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</si>
  <si>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</si>
  <si>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</si>
  <si>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</si>
  <si>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</si>
  <si>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</si>
  <si>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</si>
  <si>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</si>
  <si>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</si>
  <si>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</si>
  <si>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</si>
  <si>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</si>
  <si>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</si>
  <si>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</si>
  <si>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</si>
  <si>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</si>
  <si>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</si>
  <si>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</si>
  <si>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</si>
  <si>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</si>
  <si>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</si>
  <si>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</si>
  <si>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</si>
  <si>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</si>
  <si>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</si>
  <si>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</si>
  <si>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</si>
  <si>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</si>
  <si>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</si>
  <si>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</si>
  <si>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</si>
  <si>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</si>
  <si>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</si>
  <si>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</si>
  <si>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</si>
  <si>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</si>
  <si>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</si>
  <si>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</si>
  <si>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</si>
  <si>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</si>
  <si>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</si>
  <si>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</si>
  <si>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</si>
  <si>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</si>
  <si>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</si>
  <si>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</si>
  <si>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</si>
  <si>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</si>
  <si>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</si>
  <si>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</si>
  <si>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</si>
  <si>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</si>
  <si>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</si>
  <si>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</si>
  <si>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</si>
  <si>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</si>
  <si>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</si>
  <si>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</si>
  <si>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</si>
  <si>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</si>
  <si>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</si>
  <si>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</si>
  <si>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</si>
  <si>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</si>
  <si>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</si>
  <si>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</si>
  <si>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</si>
  <si>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</si>
  <si>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</si>
  <si>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</si>
  <si>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</si>
  <si>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</si>
  <si>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</si>
  <si>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</si>
  <si>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</si>
  <si>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</si>
  <si>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</si>
  <si>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</si>
  <si>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</si>
  <si>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</si>
  <si>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</si>
  <si>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</si>
  <si>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</si>
  <si>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</si>
  <si>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</si>
  <si>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</si>
  <si>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</si>
  <si>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</si>
  <si>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</si>
  <si>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</si>
  <si>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</si>
  <si>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</si>
  <si>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</si>
  <si>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</si>
  <si>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</si>
  <si>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</si>
  <si>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</si>
  <si>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</si>
  <si>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</si>
  <si>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</si>
  <si>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</si>
  <si>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</si>
  <si>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</si>
  <si>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</si>
  <si>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</si>
  <si>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</si>
  <si>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</si>
  <si>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</si>
  <si>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</si>
  <si>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</si>
  <si>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</si>
  <si>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</si>
  <si>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</si>
  <si>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</si>
  <si>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</si>
  <si>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</si>
  <si>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</si>
  <si>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</si>
  <si>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</si>
  <si>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</si>
  <si>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</si>
  <si>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</si>
  <si>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</si>
  <si>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</si>
  <si>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</si>
  <si>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</si>
  <si>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</si>
  <si>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</si>
  <si>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</si>
  <si>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</si>
  <si>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</si>
  <si>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</si>
  <si>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</si>
  <si>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</si>
  <si>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</si>
  <si>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</si>
  <si>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</si>
  <si>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</si>
  <si>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</si>
  <si>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</si>
  <si>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</si>
  <si>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</si>
  <si>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</si>
  <si>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</si>
  <si>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</si>
  <si>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</si>
  <si>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</si>
  <si>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</si>
  <si>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</si>
  <si>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</si>
  <si>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</si>
  <si>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</si>
  <si>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</si>
  <si>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</si>
  <si>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</si>
  <si>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</si>
  <si>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</si>
  <si>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</si>
  <si>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</si>
  <si>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</si>
  <si>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</si>
  <si>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</si>
  <si>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</si>
  <si>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</si>
  <si>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</si>
  <si>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</si>
  <si>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</si>
  <si>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</si>
  <si>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</si>
  <si>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</si>
  <si>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</si>
  <si>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</si>
  <si>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</si>
  <si>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</si>
  <si>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</si>
  <si>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</si>
  <si>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</si>
  <si>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</si>
  <si>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</si>
  <si>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</si>
  <si>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</si>
  <si>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</si>
  <si>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</si>
  <si>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</si>
  <si>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</si>
  <si>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</si>
  <si>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</si>
  <si>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</si>
  <si>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</si>
  <si>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</si>
  <si>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</si>
  <si>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</si>
  <si>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</si>
  <si>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</si>
  <si>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</si>
  <si>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</si>
  <si>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</si>
  <si>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</si>
  <si>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</si>
  <si>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</si>
  <si>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</si>
  <si>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</si>
  <si>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</si>
  <si>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</si>
  <si>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</si>
  <si>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</si>
  <si>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</si>
  <si>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</si>
  <si>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</si>
  <si>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</si>
  <si>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</si>
  <si>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</si>
  <si>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</si>
  <si>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</si>
  <si>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</si>
  <si>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</si>
  <si>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</si>
  <si>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</si>
  <si>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</si>
  <si>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</si>
  <si>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</si>
  <si>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</si>
  <si>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</si>
  <si>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</si>
  <si>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</si>
  <si>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</si>
  <si>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</si>
  <si>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</si>
  <si>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</si>
  <si>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</si>
  <si>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</si>
  <si>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</si>
  <si>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</si>
  <si>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</si>
  <si>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</si>
  <si>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</si>
  <si>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</si>
  <si>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</si>
  <si>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</si>
  <si>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</si>
  <si>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</si>
  <si>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</si>
  <si>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</si>
  <si>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</si>
  <si>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</si>
  <si>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</si>
  <si>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</si>
  <si>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</si>
  <si>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</si>
  <si>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</si>
  <si>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</si>
  <si>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</si>
  <si>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</si>
  <si>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</si>
  <si>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</si>
  <si>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</si>
  <si>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</si>
  <si>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</si>
  <si>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</si>
  <si>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</si>
  <si>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</si>
  <si>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</si>
  <si>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</si>
  <si>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</si>
  <si>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</si>
  <si>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</si>
  <si>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</si>
  <si>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</si>
  <si>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</si>
  <si>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</si>
  <si>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</si>
  <si>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</si>
  <si>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</si>
  <si>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</si>
  <si>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</si>
  <si>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</si>
  <si>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</si>
  <si>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</si>
  <si>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</si>
  <si>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</si>
  <si>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</si>
  <si>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</si>
  <si>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</si>
  <si>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</si>
  <si>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</si>
  <si>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</si>
  <si>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</si>
  <si>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</si>
  <si>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</si>
  <si>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</si>
  <si>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</si>
  <si>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</si>
  <si>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</si>
  <si>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</si>
  <si>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</si>
  <si>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</si>
  <si>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</si>
  <si>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</si>
  <si>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</si>
  <si>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</si>
  <si>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</si>
  <si>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</si>
  <si>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</si>
  <si>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</si>
  <si>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</si>
  <si>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</si>
  <si>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</si>
  <si>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</si>
  <si>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</si>
  <si>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</si>
  <si>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</si>
  <si>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</si>
  <si>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</si>
  <si>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</si>
  <si>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</si>
  <si>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</si>
  <si>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</si>
  <si>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</si>
  <si>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</si>
  <si>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</si>
  <si>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</si>
  <si>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</si>
  <si>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</si>
  <si>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</si>
  <si>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</si>
  <si>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</si>
  <si>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</si>
  <si>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</si>
  <si>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</si>
  <si>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</si>
  <si>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</si>
  <si>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</si>
  <si>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</si>
  <si>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</si>
  <si>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</si>
  <si>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</si>
  <si>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</si>
  <si>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</si>
  <si>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</si>
  <si>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</si>
  <si>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</si>
  <si>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</si>
  <si>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</si>
  <si>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</si>
  <si>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</si>
  <si>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</si>
  <si>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</si>
  <si>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</si>
  <si>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</si>
  <si>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</si>
  <si>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</si>
  <si>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</si>
  <si>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</si>
  <si>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</si>
  <si>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</si>
  <si>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</si>
  <si>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</si>
  <si>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</si>
  <si>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</si>
  <si>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</si>
  <si>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</si>
  <si>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</si>
  <si>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</si>
  <si>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</si>
  <si>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</si>
  <si>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</si>
  <si>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</si>
  <si>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</si>
  <si>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</si>
  <si>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</si>
  <si>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</si>
  <si>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</si>
  <si>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</si>
  <si>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</si>
  <si>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</si>
  <si>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</si>
  <si>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</si>
  <si>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</si>
  <si>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</si>
  <si>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</si>
  <si>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</si>
  <si>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</si>
  <si>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</si>
  <si>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</si>
  <si>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</si>
  <si>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</si>
  <si>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</si>
  <si>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</si>
  <si>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</si>
  <si>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</si>
  <si>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</si>
  <si>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</si>
  <si>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</si>
  <si>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</si>
  <si>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</si>
  <si>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</si>
  <si>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</si>
  <si>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</si>
  <si>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</si>
  <si>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</si>
  <si>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</si>
  <si>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</si>
  <si>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</si>
  <si>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</si>
  <si>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</si>
  <si>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</si>
  <si>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</si>
  <si>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</si>
  <si>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</si>
  <si>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</si>
  <si>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</si>
  <si>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</si>
  <si>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</si>
  <si>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</si>
  <si>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</si>
  <si>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</si>
  <si>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</si>
  <si>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</si>
  <si>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</si>
  <si>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</si>
  <si>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</si>
  <si>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</si>
  <si>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</si>
  <si>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</si>
  <si>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</si>
  <si>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</si>
  <si>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</si>
  <si>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</si>
  <si>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</si>
  <si>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</si>
  <si>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</si>
  <si>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</si>
  <si>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</si>
  <si>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</si>
  <si>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</si>
  <si>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</si>
  <si>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</si>
  <si>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</si>
  <si>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</si>
  <si>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</si>
  <si>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</si>
  <si>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</si>
  <si>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</si>
  <si>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</si>
  <si>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</si>
  <si>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</si>
  <si>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</si>
  <si>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</si>
  <si>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</si>
  <si>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</si>
  <si>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</si>
  <si>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</si>
  <si>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</si>
  <si>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</si>
  <si>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</si>
  <si>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</si>
  <si>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</si>
  <si>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</si>
  <si>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</si>
  <si>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</si>
  <si>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</si>
  <si>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</si>
  <si>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</si>
  <si>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</si>
  <si>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</si>
  <si>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</si>
  <si>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</si>
  <si>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</si>
  <si>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</si>
  <si>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</si>
  <si>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</si>
  <si>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</si>
  <si>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</si>
  <si>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</si>
  <si>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</si>
  <si>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</si>
  <si>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</si>
  <si>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</si>
  <si>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</si>
  <si>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</si>
  <si>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</si>
  <si>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</si>
  <si>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</si>
  <si>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</si>
  <si>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</si>
  <si>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</si>
  <si>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</si>
  <si>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</si>
  <si>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</si>
  <si>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</si>
  <si>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</si>
  <si>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</si>
  <si>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</si>
  <si>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</si>
  <si>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</si>
  <si>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</si>
  <si>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</si>
  <si>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</si>
  <si>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</si>
  <si>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</si>
  <si>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</si>
  <si>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</si>
  <si>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</si>
  <si>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</si>
  <si>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</si>
  <si>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</si>
  <si>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</si>
  <si>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</si>
  <si>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</si>
  <si>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</si>
  <si>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</si>
  <si>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</si>
  <si>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</si>
  <si>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</si>
  <si>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</si>
  <si>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</si>
  <si>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</si>
  <si>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</si>
  <si>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</si>
  <si>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</si>
  <si>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</si>
  <si>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</si>
  <si>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</si>
  <si>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</si>
  <si>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</si>
  <si>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</si>
  <si>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</si>
  <si>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</si>
  <si>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</si>
  <si>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</si>
  <si>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</si>
  <si>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</si>
  <si>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</si>
  <si>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</si>
  <si>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</si>
  <si>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</si>
  <si>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</si>
  <si>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</si>
  <si>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</si>
  <si>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</si>
  <si>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</si>
  <si>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</si>
  <si>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</si>
  <si>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</si>
  <si>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</si>
  <si>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</si>
  <si>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</si>
  <si>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</si>
  <si>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</si>
  <si>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</si>
  <si>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</si>
  <si>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</si>
  <si>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</si>
  <si>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</si>
  <si>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</si>
  <si>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</si>
  <si>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</si>
  <si>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</si>
  <si>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</si>
  <si>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</si>
  <si>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</si>
  <si>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</si>
  <si>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</si>
  <si>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</si>
  <si>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</si>
  <si>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</si>
  <si>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</si>
  <si>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</si>
  <si>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</si>
  <si>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</si>
  <si>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</si>
  <si>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</si>
  <si>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</si>
  <si>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</si>
  <si>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</si>
  <si>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</si>
  <si>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</si>
  <si>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</si>
  <si>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</si>
  <si>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</si>
  <si>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</si>
  <si>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</si>
  <si>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</si>
  <si>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</si>
  <si>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</si>
  <si>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</si>
  <si>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</si>
  <si>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</si>
  <si>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</si>
  <si>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</si>
  <si>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</si>
  <si>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</si>
  <si>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</si>
  <si>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</si>
  <si>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</si>
  <si>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</si>
  <si>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</si>
  <si>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</si>
  <si>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</si>
  <si>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</si>
  <si>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</si>
  <si>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</si>
  <si>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</si>
  <si>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</si>
  <si>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</si>
  <si>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</si>
  <si>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</si>
  <si>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</si>
  <si>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</si>
  <si>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</si>
  <si>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</si>
  <si>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</si>
  <si>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</si>
  <si>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</si>
  <si>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</si>
  <si>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</si>
  <si>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</si>
  <si>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</si>
  <si>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</si>
  <si>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</si>
  <si>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</si>
  <si>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</si>
  <si>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</si>
  <si>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</si>
  <si>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</si>
  <si>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</si>
  <si>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</si>
  <si>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</si>
  <si>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</si>
  <si>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</si>
  <si>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</si>
  <si>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</si>
  <si>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</si>
  <si>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</si>
  <si>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</si>
  <si>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</si>
  <si>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</si>
  <si>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</si>
  <si>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</si>
  <si>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</si>
  <si>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</si>
  <si>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</si>
  <si>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</si>
  <si>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</si>
  <si>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</si>
  <si>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</si>
  <si>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</si>
  <si>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</si>
  <si>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</si>
  <si>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</si>
  <si>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</si>
  <si>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</si>
  <si>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</si>
  <si>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</si>
  <si>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</si>
  <si>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</si>
  <si>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</si>
  <si>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</si>
  <si>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</si>
  <si>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</si>
  <si>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</si>
  <si>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</si>
  <si>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</si>
  <si>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</si>
  <si>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</si>
  <si>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</si>
  <si>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</si>
  <si>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</si>
  <si>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</si>
  <si>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</si>
  <si>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</si>
  <si>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</si>
  <si>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</si>
  <si>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</si>
  <si>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</si>
  <si>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</si>
  <si>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</si>
  <si>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</si>
  <si>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</si>
  <si>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</si>
  <si>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</si>
  <si>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</si>
  <si>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</si>
  <si>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</si>
  <si>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</si>
  <si>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</si>
  <si>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</si>
  <si>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</si>
  <si>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</si>
  <si>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</si>
  <si>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</si>
  <si>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</si>
  <si>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</si>
  <si>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</si>
  <si>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</si>
  <si>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</si>
  <si>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</si>
  <si>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</si>
  <si>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</si>
  <si>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</si>
  <si>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</si>
  <si>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</si>
  <si>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</si>
  <si>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</si>
  <si>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</si>
  <si>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</si>
  <si>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</si>
  <si>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</si>
  <si>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</si>
  <si>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</si>
  <si>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</si>
  <si>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</si>
  <si>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</si>
  <si>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</si>
  <si>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</si>
  <si>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</si>
  <si>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</si>
  <si>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</si>
  <si>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</si>
  <si>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</si>
  <si>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</si>
  <si>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</si>
  <si>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</si>
  <si>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</si>
  <si>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</si>
  <si>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</si>
  <si>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</si>
  <si>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</si>
  <si>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</si>
  <si>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</si>
  <si>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</si>
  <si>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</si>
  <si>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</si>
  <si>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</si>
  <si>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</si>
  <si>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</si>
  <si>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</si>
  <si>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</si>
  <si>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</si>
  <si>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</si>
  <si>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</si>
  <si>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</si>
  <si>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</si>
  <si>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</si>
  <si>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</si>
  <si>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</si>
  <si>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</si>
  <si>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</si>
  <si>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</si>
  <si>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</si>
  <si>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</si>
  <si>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</si>
  <si>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</si>
  <si>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</si>
  <si>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</si>
  <si>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</si>
  <si>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</si>
  <si>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</si>
  <si>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</si>
  <si>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</si>
  <si>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</si>
  <si>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</si>
  <si>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</si>
  <si>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</si>
  <si>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</si>
  <si>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</si>
  <si>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</si>
  <si>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</si>
  <si>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</si>
  <si>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</si>
  <si>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</si>
  <si>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</si>
  <si>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</si>
  <si>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</si>
  <si>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</si>
  <si>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</si>
  <si>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</si>
  <si>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</si>
  <si>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</si>
  <si>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</si>
  <si>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</si>
  <si>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</si>
  <si>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</si>
  <si>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</si>
  <si>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</si>
  <si>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</si>
  <si>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</si>
  <si>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</si>
  <si>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</si>
  <si>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</si>
  <si>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</si>
  <si>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</si>
  <si>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</si>
  <si>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</si>
  <si>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</si>
  <si>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</si>
  <si>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</si>
  <si>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</si>
  <si>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</si>
  <si>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</si>
  <si>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</si>
  <si>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</si>
  <si>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</si>
  <si>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</si>
  <si>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</si>
  <si>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</si>
  <si>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</si>
  <si>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</si>
  <si>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</si>
  <si>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</si>
  <si>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</si>
  <si>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</si>
  <si>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</si>
  <si>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</si>
  <si>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</si>
  <si>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</si>
  <si>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</si>
  <si>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</si>
  <si>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</si>
  <si>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</si>
  <si>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</si>
  <si>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</si>
  <si>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</si>
  <si>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</si>
  <si>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</si>
  <si>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</si>
  <si>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</si>
  <si>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</si>
  <si>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</si>
  <si>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</si>
  <si>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</si>
  <si>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</si>
  <si>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</si>
  <si>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</si>
  <si>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</si>
  <si>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</si>
  <si>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</si>
  <si>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</si>
  <si>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</si>
  <si>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</si>
  <si>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</si>
  <si>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</si>
  <si>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</si>
  <si>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</si>
  <si>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</si>
  <si>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</si>
  <si>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</si>
  <si>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</si>
  <si>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</si>
  <si>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</si>
  <si>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</si>
  <si>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</si>
  <si>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</si>
  <si>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</si>
  <si>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</si>
  <si>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</si>
  <si>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</si>
  <si>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</si>
  <si>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</si>
  <si>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</si>
  <si>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</si>
  <si>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</si>
  <si>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</si>
  <si>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</si>
  <si>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</si>
  <si>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</si>
  <si>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</si>
  <si>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</si>
  <si>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</si>
  <si>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</si>
  <si>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</si>
  <si>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</si>
  <si>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</si>
  <si>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</si>
  <si>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</si>
  <si>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</si>
  <si>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</si>
  <si>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</si>
  <si>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</si>
  <si>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</si>
  <si>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</si>
  <si>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</si>
  <si>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</si>
  <si>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</si>
  <si>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</si>
  <si>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</si>
  <si>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</si>
  <si>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</si>
  <si>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</si>
  <si>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</si>
  <si>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</si>
  <si>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</si>
  <si>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</si>
  <si>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</si>
  <si>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</si>
  <si>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</si>
  <si>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</si>
  <si>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</si>
  <si>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</si>
  <si>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</si>
  <si>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</si>
  <si>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</si>
  <si>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</si>
  <si>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</si>
  <si>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</si>
  <si>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</si>
  <si>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</si>
  <si>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</si>
  <si>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</si>
  <si>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</si>
  <si>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</si>
  <si>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</si>
  <si>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</si>
  <si>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</si>
  <si>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</si>
  <si>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</si>
  <si>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</si>
  <si>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</si>
  <si>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</si>
  <si>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</si>
  <si>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</si>
  <si>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</si>
  <si>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</si>
  <si>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</si>
  <si>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</si>
  <si>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</si>
  <si>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</si>
  <si>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</si>
  <si>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</si>
  <si>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</si>
  <si>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</si>
  <si>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</si>
  <si>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</si>
  <si>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</si>
  <si>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</si>
  <si>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</si>
  <si>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</si>
  <si>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</si>
  <si>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</si>
  <si>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</si>
  <si>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</si>
  <si>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</si>
  <si>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</si>
  <si>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</si>
  <si>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</si>
  <si>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</si>
  <si>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</si>
  <si>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</si>
  <si>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</si>
  <si>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</si>
  <si>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</si>
  <si>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</si>
  <si>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</si>
  <si>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</si>
  <si>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</si>
  <si>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</si>
  <si>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</si>
  <si>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</si>
  <si>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</si>
  <si>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</si>
  <si>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</si>
  <si>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</si>
  <si>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</si>
  <si>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</si>
  <si>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</si>
  <si>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</si>
  <si>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</si>
  <si>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</si>
  <si>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</si>
  <si>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</si>
  <si>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</si>
  <si>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</si>
  <si>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</si>
  <si>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</si>
  <si>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</si>
  <si>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</si>
  <si>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</si>
  <si>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</si>
  <si>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</si>
  <si>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</si>
  <si>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</si>
  <si>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</si>
  <si>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</si>
  <si>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</si>
  <si>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</si>
  <si>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</si>
  <si>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</si>
  <si>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</si>
  <si>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</si>
  <si>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</si>
  <si>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</si>
  <si>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</si>
  <si>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</si>
  <si>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</si>
  <si>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</si>
  <si>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</si>
  <si>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</si>
  <si>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</si>
  <si>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</si>
  <si>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</si>
  <si>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</si>
  <si>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</si>
  <si>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</si>
  <si>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</si>
  <si>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</si>
  <si>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</si>
  <si>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</si>
  <si>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</si>
  <si>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</si>
  <si>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</si>
  <si>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</si>
  <si>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</si>
  <si>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</si>
  <si>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</si>
  <si>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</si>
  <si>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</si>
  <si>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</si>
  <si>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</si>
  <si>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</si>
  <si>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</si>
  <si>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</si>
  <si>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</si>
  <si>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</si>
  <si>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</si>
  <si>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</si>
  <si>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</si>
  <si>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</si>
  <si>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</si>
  <si>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</si>
  <si>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</si>
  <si>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</si>
  <si>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</si>
  <si>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</si>
  <si>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</si>
  <si>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</si>
  <si>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</si>
  <si>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</si>
  <si>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</si>
  <si>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</si>
  <si>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</si>
  <si>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</si>
  <si>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</si>
  <si>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</si>
  <si>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</si>
  <si>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</si>
  <si>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</si>
  <si>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</si>
  <si>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</si>
  <si>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</si>
  <si>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</si>
  <si>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</si>
  <si>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</si>
  <si>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</si>
  <si>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</si>
  <si>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</si>
  <si>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</si>
  <si>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</si>
  <si>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</si>
  <si>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</si>
  <si>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</si>
  <si>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</si>
  <si>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</si>
  <si>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</si>
  <si>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</si>
  <si>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</si>
  <si>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</si>
  <si>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</si>
  <si>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</si>
  <si>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</si>
  <si>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</si>
  <si>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</si>
  <si>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</si>
  <si>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</si>
  <si>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</si>
  <si>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</si>
  <si>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</si>
  <si>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</si>
  <si>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</si>
  <si>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</si>
  <si>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</si>
  <si>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</si>
  <si>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</si>
  <si>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</si>
  <si>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</si>
  <si>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</si>
  <si>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</si>
  <si>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</si>
  <si>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</si>
  <si>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</si>
  <si>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</si>
  <si>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</si>
  <si>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</si>
  <si>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</si>
  <si>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</si>
  <si>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</si>
  <si>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</si>
  <si>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</si>
  <si>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</si>
  <si>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</si>
  <si>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</si>
  <si>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</si>
  <si>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</si>
  <si>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</si>
  <si>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</si>
  <si>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</si>
  <si>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</si>
  <si>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</si>
  <si>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</si>
  <si>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</si>
  <si>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</si>
  <si>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</si>
  <si>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</si>
  <si>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</si>
  <si>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</si>
  <si>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</si>
  <si>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</si>
  <si>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</si>
  <si>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</si>
  <si>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</si>
  <si>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</si>
  <si>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</si>
  <si>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</si>
  <si>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</si>
  <si>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</si>
  <si>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</si>
  <si>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</si>
  <si>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</si>
  <si>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</si>
  <si>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</si>
  <si>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</si>
  <si>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</si>
  <si>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</si>
  <si>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</si>
  <si>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</si>
  <si>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</si>
  <si>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</si>
  <si>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</si>
  <si>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</si>
  <si>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</si>
  <si>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</si>
  <si>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</si>
  <si>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</si>
  <si>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</si>
  <si>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</si>
  <si>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</si>
  <si>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</si>
  <si>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</si>
  <si>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</si>
  <si>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</si>
  <si>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</si>
  <si>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</si>
  <si>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</si>
  <si>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</si>
  <si>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</si>
  <si>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</si>
  <si>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</si>
  <si>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</si>
  <si>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</si>
  <si>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</si>
  <si>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</si>
  <si>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</si>
  <si>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</si>
  <si>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</si>
  <si>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</si>
  <si>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</si>
  <si>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</si>
  <si>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</si>
  <si>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</si>
  <si>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</si>
  <si>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</si>
  <si>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</si>
  <si>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</si>
  <si>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</si>
  <si>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</si>
  <si>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</si>
  <si>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</si>
  <si>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</si>
  <si>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</si>
  <si>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</si>
  <si>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</si>
  <si>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</si>
  <si>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</si>
  <si>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</si>
  <si>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</si>
  <si>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</si>
  <si>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</si>
  <si>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</si>
  <si>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</si>
  <si>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</si>
  <si>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</si>
  <si>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</si>
  <si>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</si>
  <si>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</si>
  <si>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</si>
  <si>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</si>
  <si>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</si>
  <si>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</si>
  <si>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</si>
  <si>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</si>
  <si>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</si>
  <si>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</si>
  <si>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</si>
  <si>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</si>
  <si>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</si>
  <si>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</si>
  <si>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</si>
  <si>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</si>
  <si>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</si>
  <si>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</si>
  <si>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</si>
  <si>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</si>
  <si>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</si>
  <si>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</si>
  <si>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</si>
  <si>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</si>
  <si>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</si>
  <si>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</si>
  <si>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</si>
  <si>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</si>
  <si>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</si>
  <si>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</si>
  <si>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</si>
  <si>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</si>
  <si>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</si>
  <si>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</si>
  <si>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</si>
  <si>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</si>
  <si>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</si>
  <si>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</si>
  <si>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</si>
  <si>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</si>
  <si>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</si>
  <si>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</si>
  <si>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</si>
  <si>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</si>
  <si>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</si>
  <si>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</si>
  <si>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</si>
  <si>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</si>
  <si>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</si>
  <si>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</si>
  <si>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</si>
  <si>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</si>
  <si>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</si>
  <si>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</si>
  <si>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</si>
  <si>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</si>
  <si>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</si>
  <si>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</si>
  <si>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</si>
  <si>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</si>
  <si>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</si>
  <si>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</si>
  <si>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</si>
  <si>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</si>
  <si>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</si>
  <si>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</si>
  <si>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</si>
  <si>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</si>
  <si>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</si>
  <si>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</si>
  <si>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</si>
  <si>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</si>
  <si>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</si>
  <si>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</si>
  <si>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</si>
  <si>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</si>
  <si>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</si>
  <si>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</si>
  <si>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</si>
  <si>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</si>
  <si>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</si>
  <si>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</si>
  <si>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</si>
  <si>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</si>
  <si>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</si>
  <si>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</si>
  <si>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</si>
  <si>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</si>
  <si>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</si>
  <si>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</si>
  <si>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</si>
  <si>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</si>
  <si>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</si>
  <si>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</si>
  <si>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</si>
  <si>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</si>
  <si>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</si>
  <si>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</si>
  <si>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</si>
  <si>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</si>
  <si>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</si>
  <si>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</si>
  <si>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</si>
  <si>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</si>
  <si>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</si>
  <si>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</si>
  <si>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</si>
  <si>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</si>
  <si>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</si>
  <si>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</si>
  <si>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</si>
  <si>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</si>
  <si>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</si>
  <si>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</si>
  <si>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</si>
  <si>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</si>
  <si>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</si>
  <si>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</si>
  <si>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</si>
  <si>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</si>
  <si>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</si>
  <si>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</si>
  <si>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</si>
  <si>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</si>
  <si>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</si>
  <si>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</si>
  <si>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</si>
  <si>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</si>
  <si>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</si>
  <si>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</si>
  <si>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</si>
  <si>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</si>
  <si>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</si>
  <si>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</si>
  <si>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</si>
  <si>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</si>
  <si>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</si>
  <si>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</si>
  <si>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</si>
  <si>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</si>
  <si>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</si>
  <si>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</si>
  <si>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</si>
  <si>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</si>
  <si>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</si>
  <si>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</si>
  <si>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</si>
  <si>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</si>
  <si>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</si>
  <si>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</si>
  <si>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</si>
  <si>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</si>
  <si>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</si>
  <si>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</si>
  <si>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</si>
  <si>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</si>
  <si>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</si>
  <si>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</si>
  <si>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</si>
  <si>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</si>
  <si>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</si>
  <si>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</si>
  <si>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</si>
  <si>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</si>
  <si>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</si>
  <si>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</si>
  <si>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</si>
  <si>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</si>
  <si>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</si>
  <si>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</si>
  <si>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</si>
  <si>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</si>
  <si>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</si>
  <si>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</si>
  <si>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</si>
  <si>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</si>
  <si>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</si>
  <si>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</si>
  <si>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</si>
  <si>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</si>
  <si>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</si>
  <si>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</si>
  <si>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</si>
  <si>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</si>
  <si>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</si>
  <si>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</si>
  <si>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</si>
  <si>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</si>
  <si>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</si>
  <si>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</si>
  <si>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</si>
  <si>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</si>
  <si>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</si>
  <si>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</si>
  <si>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</si>
  <si>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</si>
  <si>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</si>
  <si>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</si>
  <si>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</si>
  <si>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</si>
  <si>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</si>
  <si>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</si>
  <si>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</si>
  <si>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</si>
  <si>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</si>
  <si>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</si>
  <si>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</si>
  <si>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</si>
  <si>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</si>
  <si>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</si>
  <si>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</si>
  <si>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</si>
  <si>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</si>
  <si>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</si>
  <si>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</si>
  <si>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</si>
  <si>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</si>
  <si>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</si>
  <si>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</si>
  <si>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</si>
  <si>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</si>
  <si>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</si>
  <si>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</si>
  <si>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</si>
  <si>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</si>
  <si>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</si>
  <si>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</si>
  <si>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</si>
  <si>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</si>
  <si>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</si>
  <si>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</si>
  <si>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</si>
  <si>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</si>
  <si>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</si>
  <si>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</si>
  <si>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</si>
  <si>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</si>
  <si>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</si>
  <si>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</si>
  <si>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</si>
  <si>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</si>
  <si>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</si>
  <si>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</si>
  <si>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</si>
  <si>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</si>
  <si>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</si>
  <si>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</si>
  <si>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</si>
  <si>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</si>
  <si>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</si>
  <si>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</si>
  <si>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</si>
  <si>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</si>
  <si>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</si>
  <si>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</si>
  <si>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</si>
  <si>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</si>
  <si>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</si>
  <si>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</si>
  <si>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</si>
  <si>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</si>
  <si>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</si>
  <si>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</si>
  <si>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</si>
  <si>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</si>
  <si>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</si>
  <si>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</si>
  <si>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</si>
  <si>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</si>
  <si>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</si>
  <si>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</si>
  <si>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</si>
  <si>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</si>
  <si>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</si>
  <si>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</si>
  <si>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</si>
  <si>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</si>
  <si>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</si>
  <si>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</si>
  <si>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</si>
  <si>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</si>
  <si>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</si>
  <si>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</si>
  <si>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</si>
  <si>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</si>
  <si>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</si>
  <si>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</si>
  <si>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</si>
  <si>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</si>
  <si>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</si>
  <si>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</si>
  <si>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</si>
  <si>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</si>
  <si>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</si>
  <si>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</si>
  <si>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</si>
  <si>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</si>
  <si>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</si>
  <si>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</si>
  <si>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</si>
  <si>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</si>
  <si>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</si>
  <si>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</si>
  <si>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</si>
  <si>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</si>
  <si>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</si>
  <si>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</si>
  <si>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</si>
  <si>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</si>
  <si>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</si>
  <si>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</si>
  <si>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</si>
  <si>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</si>
  <si>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</si>
  <si>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</si>
  <si>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</si>
  <si>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</si>
  <si>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</si>
  <si>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</si>
  <si>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</si>
  <si>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</si>
  <si>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</si>
  <si>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</si>
  <si>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</si>
  <si>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</si>
  <si>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</si>
  <si>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</si>
  <si>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</si>
  <si>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</si>
  <si>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</si>
  <si>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</si>
  <si>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</si>
  <si>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</si>
  <si>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</si>
  <si>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</si>
  <si>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</si>
  <si>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</si>
  <si>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</si>
  <si>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</si>
  <si>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</si>
  <si>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</si>
  <si>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</si>
  <si>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</si>
  <si>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</si>
  <si>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</si>
  <si>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</si>
  <si>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</si>
  <si>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</si>
  <si>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</si>
  <si>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</si>
  <si>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</si>
  <si>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</si>
  <si>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</si>
  <si>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</si>
  <si>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</si>
  <si>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</si>
  <si>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</si>
  <si>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</si>
  <si>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</si>
  <si>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</si>
  <si>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</si>
  <si>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</si>
  <si>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</si>
  <si>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</si>
  <si>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</si>
  <si>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</si>
  <si>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</si>
  <si>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</si>
  <si>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</si>
  <si>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</si>
  <si>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</si>
  <si>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</si>
  <si>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</si>
  <si>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</si>
  <si>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</si>
  <si>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</si>
  <si>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</si>
  <si>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</si>
  <si>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</si>
  <si>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</si>
  <si>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</si>
  <si>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</si>
  <si>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</si>
  <si>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</si>
  <si>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</si>
  <si>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</si>
  <si>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</si>
  <si>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</si>
  <si>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</si>
  <si>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</si>
  <si>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</si>
  <si>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</si>
  <si>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</si>
  <si>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</si>
  <si>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</si>
  <si>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</si>
  <si>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</si>
  <si>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</si>
  <si>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</si>
  <si>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</si>
  <si>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</si>
  <si>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</si>
  <si>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</si>
  <si>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</si>
  <si>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</si>
  <si>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</si>
  <si>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</si>
  <si>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</si>
  <si>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</si>
  <si>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</si>
  <si>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</si>
  <si>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</si>
  <si>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</si>
  <si>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</si>
  <si>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</si>
  <si>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</si>
  <si>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</si>
  <si>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</si>
  <si>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</si>
  <si>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</si>
  <si>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</si>
  <si>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</si>
  <si>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</si>
  <si>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</si>
  <si>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</si>
  <si>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</si>
  <si>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</si>
  <si>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</si>
  <si>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</si>
  <si>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</si>
  <si>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</si>
  <si>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</si>
  <si>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</si>
  <si>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</si>
  <si>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</si>
  <si>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</si>
  <si>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</si>
  <si>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</si>
  <si>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</si>
  <si>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</si>
  <si>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</si>
  <si>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</si>
  <si>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</si>
  <si>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</si>
  <si>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</si>
  <si>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</si>
  <si>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</si>
  <si>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</si>
  <si>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</si>
  <si>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</si>
  <si>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</si>
  <si>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</si>
  <si>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</si>
  <si>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</si>
  <si>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</si>
  <si>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</si>
  <si>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</si>
  <si>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</si>
  <si>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</si>
  <si>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</si>
  <si>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</si>
  <si>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</si>
  <si>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</si>
  <si>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</si>
  <si>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</si>
  <si>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</si>
  <si>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</si>
  <si>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</si>
  <si>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</si>
  <si>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</si>
  <si>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</si>
  <si>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</si>
  <si>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</si>
  <si>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</si>
  <si>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</si>
  <si>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</si>
  <si>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</si>
  <si>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</si>
  <si>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</si>
  <si>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</si>
  <si>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</si>
  <si>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</si>
  <si>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</si>
  <si>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</si>
  <si>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</si>
  <si>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</si>
  <si>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</si>
  <si>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</si>
  <si>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</si>
  <si>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</si>
  <si>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</si>
  <si>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</si>
  <si>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</si>
  <si>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</si>
  <si>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</si>
  <si>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</si>
  <si>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</si>
  <si>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</si>
  <si>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</si>
  <si>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</si>
  <si>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</si>
  <si>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</si>
  <si>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</si>
  <si>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</si>
  <si>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</si>
  <si>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</si>
  <si>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</si>
  <si>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</si>
  <si>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</si>
  <si>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</si>
  <si>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</si>
  <si>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</si>
  <si>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</si>
  <si>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</si>
  <si>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</si>
  <si>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</si>
  <si>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</si>
  <si>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</si>
  <si>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</si>
  <si>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</si>
  <si>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</si>
  <si>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</si>
  <si>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</si>
  <si>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</si>
  <si>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</si>
  <si>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</si>
  <si>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</si>
  <si>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</si>
  <si>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</si>
  <si>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</si>
  <si>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</si>
  <si>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</si>
  <si>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</si>
  <si>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</si>
  <si>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</si>
  <si>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</si>
  <si>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</si>
  <si>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</si>
  <si>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</si>
  <si>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</si>
  <si>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</si>
  <si>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</si>
  <si>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</si>
  <si>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</si>
  <si>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</si>
  <si>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</si>
  <si>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</si>
  <si>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</si>
  <si>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</si>
  <si>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</si>
  <si>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</si>
  <si>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</si>
  <si>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</si>
  <si>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</si>
  <si>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</si>
  <si>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</si>
  <si>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</si>
  <si>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</si>
  <si>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</si>
  <si>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</si>
  <si>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</si>
  <si>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</si>
  <si>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</si>
  <si>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</si>
  <si>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</si>
  <si>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</si>
  <si>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</si>
  <si>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</si>
  <si>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</si>
  <si>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</si>
  <si>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</si>
  <si>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</si>
  <si>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</si>
  <si>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</si>
  <si>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</si>
  <si>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</si>
  <si>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</si>
  <si>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</si>
  <si>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</si>
  <si>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</si>
  <si>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</si>
  <si>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</si>
  <si>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</si>
  <si>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</si>
  <si>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</si>
  <si>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</si>
  <si>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</si>
  <si>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</si>
  <si>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</si>
  <si>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</si>
  <si>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</si>
  <si>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</si>
  <si>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</si>
  <si>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</si>
  <si>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</si>
  <si>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</si>
  <si>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</si>
  <si>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</si>
  <si>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</si>
  <si>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</si>
  <si>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</si>
  <si>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</si>
  <si>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</si>
  <si>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</si>
  <si>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</si>
  <si>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</si>
  <si>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</si>
  <si>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</si>
  <si>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</si>
  <si>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</si>
  <si>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</si>
  <si>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</si>
  <si>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</si>
  <si>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</si>
  <si>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</si>
  <si>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</si>
  <si>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</si>
  <si>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</si>
  <si>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</si>
  <si>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</si>
  <si>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</si>
  <si>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</si>
  <si>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</si>
  <si>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</si>
  <si>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</si>
  <si>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</si>
  <si>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</si>
  <si>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</si>
  <si>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</si>
  <si>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</si>
  <si>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</si>
  <si>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</si>
  <si>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</si>
  <si>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</si>
  <si>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</si>
  <si>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</si>
  <si>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</si>
  <si>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</si>
  <si>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</si>
  <si>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</si>
  <si>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</si>
  <si>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</si>
  <si>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</si>
  <si>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</si>
  <si>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</si>
  <si>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</si>
  <si>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</si>
  <si>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</si>
  <si>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</si>
  <si>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</si>
  <si>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</si>
  <si>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</si>
  <si>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</si>
  <si>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</si>
  <si>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</si>
  <si>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</si>
  <si>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</si>
  <si>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</si>
  <si>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</si>
  <si>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</si>
  <si>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</si>
  <si>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</si>
  <si>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</si>
  <si>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</si>
  <si>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</si>
  <si>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</si>
  <si>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</si>
  <si>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</si>
  <si>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</si>
  <si>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</si>
  <si>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</si>
  <si>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</si>
  <si>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</si>
  <si>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</si>
  <si>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</si>
  <si>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</si>
  <si>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</si>
  <si>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</si>
  <si>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</si>
  <si>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</si>
  <si>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</si>
  <si>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</si>
  <si>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</si>
  <si>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</si>
  <si>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</si>
  <si>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</si>
  <si>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</si>
  <si>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</si>
  <si>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</si>
  <si>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</si>
  <si>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</si>
  <si>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</si>
  <si>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</si>
  <si>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</si>
  <si>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</si>
  <si>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</si>
  <si>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</si>
  <si>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</si>
  <si>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</si>
  <si>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</si>
  <si>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</si>
  <si>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</si>
  <si>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</si>
  <si>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</si>
  <si>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</si>
  <si>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</si>
  <si>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</si>
  <si>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</si>
  <si>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</si>
  <si>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</si>
  <si>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</si>
  <si>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</si>
  <si>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</si>
  <si>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</si>
  <si>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</si>
  <si>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</si>
  <si>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</si>
  <si>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</si>
  <si>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</si>
  <si>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</si>
  <si>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</si>
  <si>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</si>
  <si>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</si>
  <si>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</si>
  <si>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</si>
  <si>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</si>
  <si>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</si>
  <si>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</si>
  <si>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</si>
  <si>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</si>
  <si>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</si>
  <si>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</si>
  <si>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</si>
  <si>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</si>
  <si>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</si>
  <si>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</si>
  <si>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</si>
  <si>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</si>
  <si>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</si>
  <si>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</si>
  <si>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</si>
  <si>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</si>
  <si>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</si>
  <si>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</si>
  <si>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</si>
  <si>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</si>
  <si>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</si>
  <si>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</si>
  <si>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</si>
  <si>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</si>
  <si>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</si>
  <si>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</si>
  <si>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</si>
  <si>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</si>
  <si>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</si>
  <si>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</si>
  <si>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</si>
  <si>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</si>
  <si>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</si>
  <si>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</si>
  <si>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</si>
  <si>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</si>
  <si>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</si>
  <si>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</si>
  <si>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</si>
  <si>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</si>
  <si>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</si>
  <si>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</si>
  <si>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</si>
  <si>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</si>
  <si>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</si>
  <si>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</si>
  <si>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</si>
  <si>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</si>
  <si>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</si>
  <si>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</si>
  <si>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</si>
  <si>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</si>
  <si>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</si>
  <si>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</si>
  <si>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</si>
  <si>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</si>
  <si>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</si>
  <si>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</si>
  <si>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</si>
  <si>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</si>
  <si>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</si>
  <si>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</si>
  <si>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</si>
  <si>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</si>
  <si>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</si>
  <si>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</si>
  <si>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</si>
  <si>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</si>
  <si>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</si>
  <si>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</si>
  <si>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</si>
  <si>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</si>
  <si>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</si>
  <si>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</si>
  <si>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</si>
  <si>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</si>
  <si>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</si>
  <si>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</si>
  <si>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</si>
  <si>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</si>
  <si>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</si>
  <si>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</si>
  <si>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</si>
  <si>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</si>
  <si>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</si>
  <si>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</si>
  <si>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</si>
  <si>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</si>
  <si>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</si>
  <si>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</si>
  <si>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</si>
  <si>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</si>
  <si>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</si>
  <si>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</si>
  <si>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</si>
  <si>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</si>
  <si>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</si>
  <si>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</si>
  <si>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</si>
  <si>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</si>
  <si>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</si>
  <si>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</si>
  <si>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</si>
  <si>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</si>
  <si>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</si>
  <si>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</si>
  <si>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</si>
  <si>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</si>
  <si>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</si>
  <si>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</si>
  <si>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</si>
  <si>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</si>
  <si>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</si>
  <si>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</si>
  <si>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</si>
  <si>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</si>
  <si>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</si>
  <si>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</si>
  <si>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</si>
  <si>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</si>
  <si>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</si>
  <si>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</si>
  <si>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</si>
  <si>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</si>
  <si>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</si>
  <si>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</si>
  <si>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</si>
  <si>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</si>
  <si>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</si>
  <si>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</si>
  <si>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</si>
  <si>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</si>
  <si>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</si>
  <si>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</si>
  <si>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</si>
  <si>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</si>
  <si>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</si>
  <si>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</si>
  <si>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</si>
  <si>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</si>
  <si>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</si>
  <si>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</si>
  <si>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</si>
  <si>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</si>
  <si>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</si>
  <si>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</si>
  <si>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</si>
  <si>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</si>
  <si>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</si>
  <si>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</si>
  <si>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</si>
  <si>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</si>
  <si>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</si>
  <si>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</si>
  <si>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</si>
  <si>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</si>
  <si>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</si>
  <si>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</si>
  <si>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</si>
  <si>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</si>
  <si>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</si>
  <si>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</si>
  <si>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</si>
  <si>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</si>
  <si>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</si>
  <si>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</si>
  <si>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</si>
  <si>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</si>
  <si>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</si>
  <si>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</si>
  <si>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</si>
  <si>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</si>
  <si>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</si>
  <si>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</si>
  <si>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</si>
  <si>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</si>
  <si>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</si>
  <si>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</si>
  <si>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</si>
  <si>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</si>
  <si>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</si>
  <si>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</si>
  <si>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</si>
  <si>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</si>
  <si>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</si>
  <si>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</si>
  <si>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</si>
  <si>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</si>
  <si>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</si>
  <si>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</si>
  <si>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</si>
  <si>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</si>
  <si>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</si>
  <si>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</si>
  <si>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</si>
  <si>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</si>
  <si>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</si>
  <si>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</si>
  <si>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</si>
  <si>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</si>
  <si>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</si>
  <si>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</si>
  <si>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</si>
  <si>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</si>
  <si>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</si>
  <si>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</si>
  <si>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</si>
  <si>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</si>
  <si>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</si>
  <si>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</si>
  <si>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</si>
  <si>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</si>
  <si>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</si>
  <si>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</si>
  <si>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</si>
  <si>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</si>
  <si>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</si>
  <si>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</si>
  <si>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</si>
  <si>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</si>
  <si>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</si>
  <si>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</si>
  <si>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</si>
  <si>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</si>
  <si>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</si>
  <si>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</si>
  <si>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</si>
  <si>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</si>
  <si>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</si>
  <si>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</si>
  <si>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</si>
  <si>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</si>
  <si>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</si>
  <si>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</si>
  <si>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</si>
  <si>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</si>
  <si>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</si>
  <si>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</si>
  <si>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</si>
  <si>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</si>
  <si>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</si>
  <si>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</si>
  <si>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</si>
  <si>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</si>
  <si>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</si>
  <si>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</si>
  <si>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</si>
  <si>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</si>
  <si>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</si>
  <si>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</si>
  <si>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</si>
  <si>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</si>
  <si>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</si>
  <si>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</si>
  <si>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</si>
  <si>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</si>
  <si>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</si>
  <si>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</si>
  <si>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</si>
  <si>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</si>
  <si>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</si>
  <si>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</si>
  <si>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</si>
  <si>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</si>
  <si>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</si>
  <si>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</si>
  <si>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</si>
  <si>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</si>
  <si>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</si>
  <si>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</si>
  <si>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</si>
  <si>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</si>
  <si>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</si>
  <si>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</si>
  <si>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</si>
  <si>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</si>
  <si>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</si>
  <si>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</si>
  <si>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</si>
  <si>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</si>
  <si>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</si>
  <si>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</si>
  <si>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</si>
  <si>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</si>
  <si>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</si>
  <si>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</si>
  <si>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</si>
  <si>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</si>
  <si>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</si>
  <si>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</si>
  <si>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</si>
  <si>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</si>
  <si>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</si>
  <si>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</si>
  <si>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</si>
  <si>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</si>
  <si>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</si>
  <si>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</si>
  <si>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</si>
  <si>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</si>
  <si>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</si>
  <si>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</si>
  <si>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</si>
  <si>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</si>
  <si>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</si>
  <si>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</si>
  <si>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</si>
  <si>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</si>
  <si>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</si>
  <si>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</si>
  <si>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</si>
  <si>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</si>
  <si>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</si>
  <si>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</si>
  <si>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</si>
  <si>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</si>
  <si>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</si>
  <si>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</si>
  <si>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</si>
  <si>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</si>
  <si>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</si>
  <si>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</si>
  <si>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</si>
  <si>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</si>
  <si>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</si>
  <si>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</si>
  <si>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</si>
  <si>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</si>
  <si>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</si>
  <si>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</si>
  <si>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</si>
  <si>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</si>
  <si>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</si>
  <si>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</si>
  <si>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</si>
  <si>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</si>
  <si>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</si>
  <si>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</si>
  <si>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</si>
  <si>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</si>
  <si>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</si>
  <si>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</si>
  <si>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</si>
  <si>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</si>
  <si>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</si>
  <si>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</si>
  <si>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</si>
  <si>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</si>
  <si>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</si>
  <si>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</si>
  <si>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</si>
  <si>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</si>
  <si>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</si>
  <si>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</si>
  <si>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</si>
  <si>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</si>
  <si>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</si>
  <si>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</si>
  <si>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</si>
  <si>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</si>
  <si>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</si>
  <si>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</si>
  <si>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</si>
  <si>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</si>
  <si>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</si>
  <si>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</si>
  <si>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</si>
  <si>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</si>
  <si>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</si>
  <si>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</si>
  <si>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</si>
  <si>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</si>
  <si>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</si>
  <si>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</si>
  <si>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</si>
  <si>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</si>
  <si>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</si>
  <si>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</si>
  <si>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</si>
  <si>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</si>
  <si>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</si>
  <si>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</si>
  <si>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</si>
  <si>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</si>
  <si>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</si>
  <si>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</si>
  <si>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</si>
  <si>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</si>
  <si>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</si>
  <si>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</si>
  <si>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</si>
  <si>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</si>
  <si>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</si>
  <si>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</si>
  <si>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</si>
  <si>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</si>
  <si>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</si>
  <si>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</si>
  <si>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</si>
  <si>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</si>
  <si>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</si>
  <si>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</si>
  <si>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</si>
  <si>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</si>
  <si>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</si>
  <si>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</si>
  <si>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</si>
  <si>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</si>
  <si>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</si>
  <si>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</si>
  <si>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</si>
  <si>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</si>
  <si>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</si>
  <si>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</si>
  <si>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</si>
  <si>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</si>
  <si>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</si>
  <si>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</si>
  <si>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</si>
  <si>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</si>
  <si>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</si>
  <si>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</si>
  <si>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</si>
  <si>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</si>
  <si>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</si>
  <si>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</si>
  <si>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</si>
  <si>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</si>
  <si>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</si>
  <si>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</si>
  <si>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</si>
  <si>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</si>
  <si>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</si>
  <si>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</si>
  <si>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</si>
  <si>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</si>
  <si>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</si>
  <si>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</si>
  <si>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</si>
  <si>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</si>
  <si>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</si>
  <si>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</si>
  <si>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</si>
  <si>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</si>
  <si>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</si>
  <si>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</si>
  <si>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</si>
  <si>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</si>
  <si>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</si>
  <si>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</si>
  <si>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</si>
  <si>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</si>
  <si>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</si>
  <si>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</si>
  <si>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</si>
  <si>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</si>
  <si>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</si>
  <si>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</si>
  <si>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</si>
  <si>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</si>
  <si>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</si>
  <si>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</si>
  <si>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</si>
  <si>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</si>
  <si>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</si>
  <si>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</si>
  <si>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</si>
  <si>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</si>
  <si>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</si>
  <si>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</si>
  <si>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</si>
  <si>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</si>
  <si>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</si>
  <si>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</si>
  <si>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</si>
  <si>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</si>
  <si>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</si>
  <si>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</si>
  <si>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</si>
  <si>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</si>
  <si>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</si>
  <si>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</si>
  <si>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</si>
  <si>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</si>
  <si>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</si>
  <si>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</si>
  <si>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</si>
  <si>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</si>
  <si>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</si>
  <si>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</si>
  <si>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</si>
  <si>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</si>
  <si>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</si>
  <si>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</si>
  <si>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</si>
  <si>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</si>
  <si>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</si>
  <si>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</si>
  <si>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</si>
  <si>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</si>
  <si>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</si>
  <si>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</si>
  <si>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</si>
  <si>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</si>
  <si>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</si>
  <si>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</si>
  <si>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</si>
  <si>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</si>
  <si>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</si>
  <si>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</si>
  <si>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</si>
  <si>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</si>
  <si>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</si>
  <si>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</si>
  <si>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</si>
  <si>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</si>
  <si>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</si>
  <si>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</si>
  <si>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</si>
  <si>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</si>
  <si>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</si>
  <si>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</si>
  <si>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</si>
  <si>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</si>
  <si>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</si>
  <si>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</si>
  <si>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</si>
  <si>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</si>
  <si>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</si>
  <si>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</si>
  <si>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</si>
  <si>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</si>
  <si>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</si>
  <si>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</si>
  <si>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</si>
  <si>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</si>
  <si>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</si>
  <si>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</si>
  <si>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</si>
  <si>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</si>
  <si>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</si>
  <si>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</si>
  <si>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</si>
  <si>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</si>
  <si>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</si>
  <si>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</si>
  <si>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</si>
  <si>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</si>
  <si>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</si>
  <si>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</si>
  <si>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</si>
  <si>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</si>
  <si>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</si>
  <si>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</si>
  <si>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</si>
  <si>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</si>
  <si>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</si>
  <si>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</si>
  <si>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</si>
  <si>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</si>
  <si>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</si>
  <si>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</si>
  <si>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</si>
  <si>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</si>
  <si>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</si>
  <si>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</si>
  <si>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</si>
  <si>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</si>
  <si>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</si>
  <si>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</si>
  <si>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</si>
  <si>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</si>
  <si>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</si>
  <si>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</si>
  <si>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</si>
  <si>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</si>
  <si>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</si>
  <si>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</si>
  <si>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</si>
  <si>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</si>
  <si>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</si>
  <si>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</si>
  <si>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</si>
  <si>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</si>
  <si>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</si>
  <si>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</si>
  <si>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</si>
  <si>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</si>
  <si>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</si>
  <si>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</si>
  <si>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</si>
  <si>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</si>
  <si>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</si>
  <si>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</si>
  <si>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</si>
  <si>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</si>
  <si>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</si>
  <si>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</si>
  <si>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</si>
  <si>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</si>
  <si>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</si>
  <si>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</si>
  <si>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</si>
  <si>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</si>
  <si>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</si>
  <si>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</si>
  <si>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</si>
  <si>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</si>
  <si>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</si>
  <si>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</si>
  <si>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</si>
  <si>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</si>
  <si>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</si>
  <si>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</si>
  <si>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</si>
  <si>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</si>
  <si>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</si>
  <si>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</si>
  <si>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</si>
  <si>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</si>
  <si>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</si>
  <si>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</si>
  <si>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</si>
  <si>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</si>
  <si>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</si>
  <si>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</si>
  <si>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</si>
  <si>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</si>
  <si>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</si>
  <si>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</si>
  <si>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</si>
  <si>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</si>
  <si>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</si>
  <si>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</si>
  <si>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</si>
  <si>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</si>
  <si>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</si>
  <si>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</si>
  <si>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</si>
  <si>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</si>
  <si>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</si>
  <si>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</si>
  <si>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</si>
  <si>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</si>
  <si>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</si>
  <si>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</si>
  <si>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</si>
  <si>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</si>
  <si>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</si>
  <si>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</si>
  <si>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</si>
  <si>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</si>
  <si>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</si>
  <si>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</si>
  <si>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</si>
  <si>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</si>
  <si>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</si>
  <si>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</si>
  <si>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</si>
  <si>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</si>
  <si>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</si>
  <si>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</si>
  <si>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</si>
  <si>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</si>
  <si>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</si>
  <si>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</si>
  <si>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</si>
  <si>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</si>
  <si>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</si>
  <si>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</si>
  <si>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</si>
  <si>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</si>
  <si>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</si>
  <si>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</si>
  <si>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</si>
  <si>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</si>
  <si>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</si>
  <si>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</si>
  <si>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</si>
  <si>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</si>
  <si>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</si>
  <si>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</si>
  <si>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</si>
  <si>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</si>
  <si>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</si>
  <si>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</si>
  <si>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</si>
  <si>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</si>
  <si>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</si>
  <si>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</si>
  <si>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</si>
  <si>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</si>
  <si>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</si>
  <si>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</si>
  <si>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</si>
  <si>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</si>
  <si>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</si>
  <si>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</si>
  <si>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</si>
  <si>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</si>
  <si>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</si>
  <si>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</si>
  <si>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</si>
  <si>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</si>
  <si>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</si>
  <si>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</si>
  <si>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</si>
  <si>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</si>
  <si>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</si>
  <si>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</si>
  <si>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</si>
  <si>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</si>
  <si>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</si>
  <si>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</si>
  <si>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</si>
  <si>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</si>
  <si>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</si>
  <si>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</si>
  <si>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</si>
  <si>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</si>
  <si>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</si>
  <si>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</si>
  <si>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</si>
  <si>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</si>
  <si>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</si>
  <si>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</si>
  <si>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</si>
  <si>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</si>
  <si>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</si>
  <si>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</si>
  <si>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</si>
  <si>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</si>
  <si>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</si>
  <si>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</si>
  <si>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</si>
  <si>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</si>
  <si>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</si>
  <si>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</si>
  <si>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</si>
  <si>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</si>
  <si>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</si>
  <si>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</si>
  <si>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</si>
  <si>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</si>
  <si>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</si>
  <si>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</si>
  <si>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</si>
  <si>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</si>
  <si>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</si>
  <si>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</si>
  <si>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</si>
  <si>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</si>
  <si>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</si>
  <si>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</si>
  <si>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</si>
  <si>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</si>
  <si>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</si>
  <si>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</si>
  <si>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</si>
  <si>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</si>
  <si>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</si>
  <si>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</si>
  <si>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</si>
  <si>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</si>
  <si>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</si>
  <si>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</si>
  <si>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</si>
  <si>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</si>
  <si>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</si>
  <si>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</si>
  <si>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</si>
  <si>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</si>
  <si>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</si>
  <si>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</si>
  <si>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</si>
  <si>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</si>
  <si>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</si>
  <si>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</si>
  <si>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</si>
  <si>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</si>
  <si>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</si>
  <si>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</si>
  <si>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</si>
  <si>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</si>
  <si>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</si>
  <si>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</si>
  <si>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</si>
  <si>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</si>
  <si>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</si>
  <si>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</si>
  <si>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</si>
  <si>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</si>
  <si>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</si>
  <si>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</si>
  <si>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</si>
  <si>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</si>
  <si>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</si>
  <si>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</si>
  <si>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</si>
  <si>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</si>
  <si>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</si>
  <si>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</si>
  <si>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</si>
  <si>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</si>
  <si>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</si>
  <si>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</si>
  <si>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</si>
  <si>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</si>
  <si>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</si>
  <si>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</si>
  <si>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</si>
  <si>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</si>
  <si>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</si>
  <si>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</si>
  <si>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</si>
  <si>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</si>
  <si>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</si>
  <si>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</si>
  <si>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</si>
  <si>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</si>
  <si>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</si>
  <si>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</si>
  <si>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</si>
  <si>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</si>
  <si>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</si>
  <si>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</si>
  <si>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</si>
  <si>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</si>
  <si>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</si>
  <si>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</si>
  <si>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</si>
  <si>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</si>
  <si>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</si>
  <si>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</si>
  <si>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</si>
  <si>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</si>
  <si>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</si>
  <si>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</si>
  <si>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</si>
  <si>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</si>
  <si>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</si>
  <si>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</si>
  <si>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</si>
  <si>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</si>
  <si>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</si>
  <si>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</si>
  <si>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</si>
  <si>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</si>
  <si>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</si>
  <si>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</si>
  <si>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</si>
  <si>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</si>
  <si>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</si>
  <si>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</si>
  <si>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</si>
  <si>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</si>
  <si>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</si>
  <si>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</si>
  <si>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</si>
  <si>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</si>
  <si>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</si>
  <si>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</si>
  <si>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</si>
  <si>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</si>
  <si>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</si>
  <si>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</si>
  <si>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</si>
  <si>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</si>
  <si>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</si>
  <si>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</si>
  <si>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</si>
  <si>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</si>
  <si>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</si>
  <si>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</si>
  <si>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</si>
  <si>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</si>
  <si>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</si>
  <si>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</si>
  <si>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</si>
  <si>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</si>
  <si>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</si>
  <si>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</si>
  <si>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</si>
  <si>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</si>
  <si>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</si>
  <si>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</si>
  <si>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</si>
  <si>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</si>
  <si>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</si>
  <si>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</si>
  <si>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</si>
  <si>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</si>
  <si>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</si>
  <si>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</si>
  <si>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</si>
  <si>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</si>
  <si>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</si>
  <si>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</si>
  <si>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</si>
  <si>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</si>
  <si>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</si>
  <si>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</si>
  <si>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</si>
  <si>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</si>
  <si>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</si>
  <si>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</si>
  <si>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</si>
  <si>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</si>
  <si>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</si>
  <si>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</si>
  <si>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</si>
  <si>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</si>
  <si>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</si>
  <si>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</si>
  <si>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</si>
  <si>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</si>
  <si>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</si>
  <si>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</si>
  <si>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</si>
  <si>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</si>
  <si>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</si>
  <si>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</si>
  <si>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</si>
  <si>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</si>
  <si>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</si>
  <si>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</si>
  <si>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</si>
  <si>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</si>
  <si>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</si>
  <si>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</si>
  <si>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</si>
  <si>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</si>
  <si>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</si>
  <si>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</si>
  <si>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</si>
  <si>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</si>
  <si>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</si>
  <si>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</si>
  <si>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</si>
  <si>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</si>
  <si>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</si>
  <si>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</si>
  <si>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</si>
  <si>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</si>
  <si>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</si>
  <si>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</si>
  <si>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</si>
  <si>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</si>
  <si>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</si>
  <si>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</si>
  <si>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</si>
  <si>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</si>
  <si>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</si>
  <si>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</si>
  <si>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</si>
  <si>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</si>
  <si>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</si>
  <si>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</si>
  <si>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</si>
  <si>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</si>
  <si>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</si>
  <si>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</si>
  <si>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</si>
  <si>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</si>
  <si>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</si>
  <si>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</si>
  <si>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</si>
  <si>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</si>
  <si>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</si>
  <si>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</si>
  <si>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</si>
  <si>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</si>
  <si>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</si>
  <si>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</si>
  <si>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</si>
  <si>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</si>
  <si>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</si>
  <si>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</si>
  <si>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</si>
  <si>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</si>
  <si>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</si>
  <si>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</si>
  <si>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</si>
  <si>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</si>
  <si>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</si>
  <si>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</si>
  <si>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</si>
  <si>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</si>
  <si>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</si>
  <si>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</si>
  <si>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</si>
  <si>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</si>
  <si>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</si>
  <si>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</si>
  <si>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</si>
  <si>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</si>
  <si>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</si>
  <si>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</si>
  <si>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</si>
  <si>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</si>
  <si>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</si>
  <si>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</si>
  <si>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</si>
  <si>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</si>
  <si>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</si>
  <si>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</si>
  <si>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</si>
  <si>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</si>
  <si>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</si>
  <si>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</si>
  <si>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</si>
  <si>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</si>
  <si>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</si>
  <si>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</si>
  <si>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</si>
  <si>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</si>
  <si>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</si>
  <si>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</si>
  <si>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</si>
  <si>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</si>
  <si>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</si>
  <si>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</si>
  <si>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</si>
  <si>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</si>
  <si>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</si>
  <si>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</si>
  <si>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</si>
  <si>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</si>
  <si>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</si>
  <si>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</si>
  <si>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</si>
  <si>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</si>
  <si>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</si>
  <si>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</si>
  <si>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</si>
  <si>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</si>
  <si>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</si>
  <si>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</si>
  <si>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</si>
  <si>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</si>
  <si>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</si>
  <si>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</si>
  <si>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</si>
  <si>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</si>
  <si>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</si>
  <si>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</si>
  <si>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</si>
  <si>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</si>
  <si>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</si>
  <si>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</si>
  <si>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</si>
  <si>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</si>
  <si>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</si>
  <si>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</si>
  <si>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</si>
  <si>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</si>
  <si>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</si>
  <si>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</si>
  <si>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</si>
  <si>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</si>
  <si>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</si>
  <si>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</si>
  <si>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</si>
  <si>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</si>
  <si>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</si>
  <si>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</si>
  <si>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</si>
  <si>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</si>
  <si>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</si>
  <si>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</si>
  <si>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</si>
  <si>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</si>
  <si>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</si>
  <si>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</si>
  <si>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</si>
  <si>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</si>
  <si>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</si>
  <si>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</si>
  <si>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</si>
  <si>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</si>
  <si>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</si>
  <si>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</si>
  <si>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</si>
  <si>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</si>
  <si>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</si>
  <si>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</si>
  <si>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</si>
  <si>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</si>
  <si>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</si>
  <si>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</si>
  <si>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</si>
  <si>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</si>
  <si>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</si>
  <si>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</si>
  <si>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</si>
  <si>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</si>
  <si>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</si>
  <si>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</si>
  <si>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</si>
  <si>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</si>
  <si>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</si>
  <si>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</si>
  <si>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</si>
  <si>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</si>
  <si>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</si>
  <si>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</si>
  <si>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</si>
  <si>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</si>
  <si>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</si>
  <si>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</si>
  <si>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</si>
  <si>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</si>
  <si>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</si>
  <si>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</si>
  <si>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</si>
  <si>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</si>
  <si>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</si>
  <si>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</si>
  <si>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</si>
  <si>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</si>
  <si>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</si>
  <si>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</si>
  <si>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</si>
  <si>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</si>
  <si>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</si>
  <si>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</si>
  <si>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</si>
  <si>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</si>
  <si>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</si>
  <si>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</si>
  <si>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</si>
  <si>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</si>
  <si>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</si>
  <si>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</si>
  <si>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</si>
  <si>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</si>
  <si>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</si>
  <si>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</si>
  <si>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</si>
  <si>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</si>
  <si>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</si>
  <si>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</si>
  <si>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</si>
  <si>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</si>
  <si>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</si>
  <si>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</si>
  <si>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</si>
  <si>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</si>
  <si>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</si>
  <si>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</si>
  <si>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</si>
  <si>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</si>
  <si>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</si>
  <si>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</si>
  <si>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</si>
  <si>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</si>
  <si>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</si>
  <si>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</si>
  <si>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</si>
  <si>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</si>
  <si>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</si>
  <si>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</si>
  <si>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</si>
  <si>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</si>
  <si>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</si>
  <si>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</si>
  <si>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</si>
  <si>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</si>
  <si>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</si>
  <si>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</si>
  <si>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</si>
  <si>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</si>
  <si>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</si>
  <si>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</si>
  <si>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</si>
  <si>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</si>
  <si>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</si>
  <si>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</si>
  <si>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</si>
  <si>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</si>
  <si>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</si>
  <si>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</si>
  <si>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</si>
  <si>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</si>
  <si>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</si>
  <si>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</si>
  <si>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</si>
  <si>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</si>
  <si>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</si>
  <si>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</si>
  <si>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</si>
  <si>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</si>
  <si>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</si>
  <si>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</si>
  <si>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</si>
  <si>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</si>
  <si>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</si>
  <si>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</si>
  <si>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</si>
  <si>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</si>
  <si>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</si>
  <si>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</si>
  <si>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</si>
  <si>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</si>
  <si>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</si>
  <si>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</si>
  <si>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</si>
  <si>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</si>
  <si>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</si>
  <si>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</si>
  <si>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</si>
  <si>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</si>
  <si>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</si>
  <si>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</si>
  <si>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</si>
  <si>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</si>
  <si>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</si>
  <si>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</si>
  <si>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</si>
  <si>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</si>
  <si>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</si>
  <si>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</si>
  <si>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</si>
  <si>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</si>
  <si>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</si>
  <si>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</si>
  <si>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</si>
  <si>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</si>
  <si>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</si>
  <si>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</si>
  <si>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</si>
  <si>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</si>
  <si>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</si>
  <si>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</si>
  <si>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</si>
  <si>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</si>
  <si>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</si>
  <si>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</si>
  <si>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</si>
  <si>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</si>
  <si>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</si>
  <si>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</si>
  <si>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</si>
  <si>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</si>
  <si>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</si>
  <si>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</si>
  <si>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</si>
  <si>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</si>
  <si>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</si>
  <si>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</si>
  <si>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</si>
  <si>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</si>
  <si>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</si>
  <si>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</si>
  <si>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</si>
  <si>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</si>
  <si>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</si>
  <si>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</si>
  <si>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</si>
  <si>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</si>
  <si>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</si>
  <si>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</si>
  <si>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</si>
  <si>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</si>
  <si>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</si>
  <si>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</si>
  <si>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</si>
  <si>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</si>
  <si>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</si>
  <si>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</si>
  <si>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</si>
  <si>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</si>
  <si>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</si>
  <si>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</si>
  <si>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</si>
  <si>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</si>
  <si>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</si>
  <si>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</si>
  <si>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</si>
  <si>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</si>
  <si>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</si>
  <si>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</si>
  <si>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</si>
  <si>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</si>
  <si>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</si>
  <si>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</si>
  <si>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</si>
  <si>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</si>
  <si>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</si>
  <si>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</si>
  <si>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</si>
  <si>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</si>
  <si>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</si>
  <si>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</si>
  <si>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</si>
  <si>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</si>
  <si>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</si>
  <si>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</si>
  <si>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</si>
  <si>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</si>
  <si>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</si>
  <si>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</si>
  <si>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</si>
  <si>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</si>
  <si>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</si>
  <si>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</si>
  <si>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</si>
  <si>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</si>
  <si>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</si>
  <si>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</si>
  <si>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</si>
  <si>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</si>
  <si>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</si>
  <si>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</si>
  <si>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</si>
  <si>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</si>
  <si>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</si>
  <si>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</si>
  <si>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</si>
  <si>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</si>
  <si>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</si>
  <si>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</si>
  <si>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</si>
  <si>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</si>
  <si>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</si>
  <si>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</si>
  <si>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</si>
  <si>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</si>
  <si>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</si>
  <si>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</si>
  <si>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</si>
  <si>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</si>
  <si>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</si>
  <si>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</si>
  <si>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</si>
  <si>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</si>
  <si>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</si>
  <si>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</si>
  <si>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</si>
  <si>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</si>
  <si>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</si>
  <si>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</si>
  <si>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</si>
  <si>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</si>
  <si>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</si>
  <si>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</si>
  <si>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</si>
  <si>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</si>
  <si>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</si>
  <si>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</si>
  <si>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</si>
  <si>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</si>
  <si>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</si>
  <si>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</si>
  <si>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</si>
  <si>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</si>
  <si>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</si>
  <si>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</si>
  <si>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</si>
  <si>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</si>
  <si>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</si>
  <si>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</si>
  <si>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</si>
  <si>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</si>
  <si>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</si>
  <si>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</si>
  <si>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</si>
  <si>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</si>
  <si>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</si>
  <si>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</si>
  <si>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</si>
  <si>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</si>
  <si>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</si>
  <si>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</si>
  <si>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</si>
  <si>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</si>
  <si>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</si>
  <si>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</si>
  <si>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</si>
  <si>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</si>
  <si>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</si>
  <si>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</si>
  <si>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</si>
  <si>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</si>
  <si>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</si>
  <si>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</si>
  <si>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</si>
  <si>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</si>
  <si>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</si>
  <si>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</si>
  <si>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</si>
  <si>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</si>
  <si>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</si>
  <si>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</si>
  <si>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</si>
  <si>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</si>
  <si>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</si>
  <si>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</si>
  <si>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</si>
  <si>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</si>
  <si>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</si>
  <si>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</si>
  <si>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</si>
  <si>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</si>
  <si>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</si>
  <si>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</si>
  <si>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</si>
  <si>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</si>
  <si>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</si>
  <si>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</si>
  <si>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</si>
  <si>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</si>
  <si>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</si>
  <si>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</si>
  <si>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</si>
  <si>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</si>
  <si>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</si>
  <si>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</si>
  <si>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</si>
  <si>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</si>
  <si>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</si>
  <si>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</si>
  <si>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</si>
  <si>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</si>
  <si>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</si>
  <si>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</si>
  <si>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</si>
  <si>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</si>
  <si>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</si>
  <si>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</si>
  <si>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</si>
  <si>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</si>
  <si>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</si>
  <si>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</si>
  <si>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</si>
  <si>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</si>
  <si>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</si>
  <si>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</si>
  <si>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</si>
  <si>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</si>
  <si>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</si>
  <si>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</si>
  <si>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</si>
  <si>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</si>
  <si>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</si>
  <si>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</si>
  <si>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</si>
  <si>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</si>
  <si>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</si>
  <si>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</si>
  <si>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</si>
  <si>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</si>
  <si>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</si>
  <si>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</si>
  <si>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</si>
  <si>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</si>
  <si>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</si>
  <si>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</si>
  <si>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</si>
  <si>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</si>
  <si>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</si>
  <si>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</si>
  <si>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</si>
  <si>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</si>
  <si>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</si>
  <si>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</si>
  <si>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</si>
  <si>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</si>
  <si>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</si>
  <si>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</si>
  <si>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</si>
  <si>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</si>
  <si>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</si>
  <si>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</si>
  <si>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</si>
  <si>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</si>
  <si>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</si>
  <si>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</si>
  <si>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</si>
  <si>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</si>
  <si>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</si>
  <si>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</si>
  <si>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</si>
  <si>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</si>
  <si>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</si>
  <si>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</si>
  <si>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</si>
  <si>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</si>
  <si>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</si>
  <si>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</si>
  <si>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</si>
  <si>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</si>
  <si>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</si>
  <si>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</si>
  <si>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</si>
  <si>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</si>
  <si>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</si>
  <si>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</si>
  <si>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</si>
  <si>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</si>
  <si>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</si>
  <si>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</si>
  <si>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</si>
  <si>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</si>
  <si>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</si>
  <si>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</si>
  <si>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</si>
  <si>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</si>
  <si>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</si>
  <si>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</si>
  <si>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</si>
  <si>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</si>
  <si>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</si>
  <si>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</si>
  <si>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</si>
  <si>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</si>
  <si>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</si>
  <si>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</si>
  <si>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</si>
  <si>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</si>
  <si>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</si>
  <si>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</si>
  <si>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</si>
  <si>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</si>
  <si>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</si>
  <si>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</si>
  <si>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</si>
  <si>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</si>
  <si>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</si>
  <si>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</si>
  <si>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</si>
  <si>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</si>
  <si>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</si>
  <si>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</si>
  <si>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</si>
  <si>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</si>
  <si>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</si>
  <si>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</si>
  <si>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</si>
  <si>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</si>
  <si>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</si>
  <si>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</si>
  <si>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</si>
  <si>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</si>
  <si>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</si>
  <si>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</si>
  <si>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</si>
  <si>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</si>
  <si>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</si>
  <si>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</si>
  <si>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</si>
  <si>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</si>
  <si>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</si>
  <si>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</si>
  <si>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</si>
  <si>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</si>
  <si>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</si>
  <si>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</si>
  <si>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</si>
  <si>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</si>
  <si>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</si>
  <si>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</si>
  <si>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</si>
  <si>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</si>
  <si>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</si>
  <si>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</si>
  <si>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</si>
  <si>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</si>
  <si>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</si>
  <si>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</si>
  <si>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</si>
  <si>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</si>
  <si>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</si>
  <si>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</si>
  <si>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</si>
  <si>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</si>
  <si>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</si>
  <si>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</si>
  <si>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</si>
  <si>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</si>
  <si>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</si>
  <si>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</si>
  <si>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</si>
  <si>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</si>
  <si>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</si>
  <si>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</si>
  <si>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</si>
  <si>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</si>
  <si>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</si>
  <si>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</si>
  <si>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</si>
  <si>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</si>
  <si>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</si>
  <si>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</si>
  <si>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</si>
  <si>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</si>
  <si>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</si>
  <si>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</si>
  <si>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</si>
  <si>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</si>
  <si>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</si>
  <si>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</si>
  <si>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</si>
  <si>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</si>
  <si>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</si>
  <si>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</si>
  <si>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</si>
  <si>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</si>
  <si>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</si>
  <si>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</si>
  <si>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</si>
  <si>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</si>
  <si>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</si>
  <si>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</si>
  <si>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</si>
  <si>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</si>
  <si>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</si>
  <si>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</si>
  <si>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</si>
  <si>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</si>
  <si>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</si>
  <si>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</si>
  <si>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</si>
  <si>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</si>
  <si>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</si>
  <si>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</si>
  <si>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</si>
  <si>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</si>
  <si>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</si>
  <si>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</si>
  <si>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</si>
  <si>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</si>
  <si>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</si>
  <si>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</si>
  <si>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</si>
  <si>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</si>
  <si>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</si>
  <si>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</si>
  <si>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</si>
  <si>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</si>
  <si>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</si>
  <si>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</si>
  <si>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</si>
  <si>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</si>
  <si>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</si>
  <si>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</si>
  <si>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</si>
  <si>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</si>
  <si>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</si>
  <si>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</si>
  <si>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</si>
  <si>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</si>
  <si>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</si>
  <si>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</si>
  <si>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</si>
  <si>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</si>
  <si>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</si>
  <si>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</si>
  <si>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</si>
  <si>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</si>
  <si>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</si>
  <si>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</si>
  <si>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</si>
  <si>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</si>
  <si>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</si>
  <si>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</si>
  <si>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</si>
  <si>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</si>
  <si>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</si>
  <si>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</si>
  <si>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</si>
  <si>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</si>
  <si>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</si>
  <si>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</si>
  <si>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</si>
  <si>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</si>
  <si>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</si>
  <si>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</si>
  <si>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</si>
  <si>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</si>
  <si>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</si>
  <si>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</si>
  <si>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</si>
  <si>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</si>
  <si>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</si>
  <si>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</si>
  <si>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</si>
  <si>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</si>
  <si>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</si>
  <si>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</si>
  <si>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</si>
  <si>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</si>
  <si>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</si>
  <si>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</si>
  <si>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</si>
  <si>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</si>
  <si>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</si>
  <si>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</si>
  <si>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</si>
  <si>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</si>
  <si>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</si>
  <si>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</si>
  <si>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</si>
  <si>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</si>
  <si>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</si>
  <si>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</si>
  <si>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</si>
  <si>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</si>
  <si>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</si>
  <si>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</si>
  <si>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</si>
  <si>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</si>
  <si>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</si>
  <si>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</si>
  <si>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</si>
  <si>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</si>
  <si>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</si>
  <si>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</si>
  <si>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</si>
  <si>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</si>
  <si>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</si>
  <si>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</si>
  <si>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</si>
  <si>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</si>
  <si>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</si>
  <si>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</si>
  <si>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</si>
  <si>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</si>
  <si>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</si>
  <si>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</si>
  <si>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</si>
  <si>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</si>
  <si>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</si>
  <si>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</si>
  <si>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</si>
  <si>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</si>
  <si>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</si>
  <si>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</si>
  <si>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</si>
  <si>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</si>
  <si>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</si>
  <si>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</si>
  <si>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</si>
  <si>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</si>
  <si>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</si>
  <si>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</si>
  <si>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</si>
  <si>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</si>
  <si>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</si>
  <si>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</si>
  <si>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</si>
  <si>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</si>
  <si>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</si>
  <si>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</si>
  <si>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</si>
  <si>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</si>
  <si>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</si>
  <si>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</si>
  <si>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</si>
  <si>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</si>
  <si>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</si>
  <si>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</si>
  <si>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</si>
  <si>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</si>
  <si>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</si>
  <si>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</si>
  <si>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</si>
  <si>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</si>
  <si>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</si>
  <si>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</si>
  <si>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</si>
  <si>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</si>
  <si>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</si>
  <si>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</si>
  <si>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</si>
  <si>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</si>
  <si>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</si>
  <si>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</si>
  <si>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</si>
  <si>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</si>
  <si>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</si>
  <si>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</si>
  <si>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</si>
  <si>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</si>
  <si>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</si>
  <si>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</si>
  <si>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</si>
  <si>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</si>
  <si>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</si>
  <si>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</si>
  <si>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</si>
  <si>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</si>
  <si>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</si>
  <si>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</si>
  <si>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</si>
  <si>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</si>
  <si>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</si>
  <si>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</si>
  <si>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</si>
  <si>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</si>
  <si>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</si>
  <si>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</si>
  <si>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</si>
  <si>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</si>
  <si>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</si>
  <si>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</si>
  <si>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</si>
  <si>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</si>
  <si>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</si>
  <si>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</si>
  <si>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</si>
  <si>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</si>
  <si>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</si>
  <si>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</si>
  <si>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</si>
  <si>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</si>
  <si>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</si>
  <si>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</si>
  <si>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</si>
  <si>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</si>
  <si>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</si>
  <si>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</si>
  <si>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</si>
  <si>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</si>
  <si>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</si>
  <si>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</si>
  <si>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</si>
  <si>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</si>
  <si>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</si>
  <si>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</si>
  <si>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</si>
  <si>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</si>
  <si>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</si>
  <si>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</si>
  <si>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</si>
  <si>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</si>
  <si>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</si>
  <si>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</si>
  <si>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</si>
  <si>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</si>
  <si>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</si>
  <si>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</si>
  <si>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</si>
  <si>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</si>
  <si>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</si>
  <si>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</si>
  <si>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</si>
  <si>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</si>
  <si>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</si>
  <si>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</si>
  <si>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</si>
  <si>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</si>
  <si>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</si>
  <si>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</si>
  <si>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</si>
  <si>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</si>
  <si>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</si>
  <si>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</si>
  <si>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</si>
  <si>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</si>
  <si>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</si>
  <si>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</si>
  <si>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</si>
  <si>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</si>
  <si>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</si>
  <si>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</si>
  <si>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</si>
  <si>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</si>
  <si>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</si>
  <si>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</si>
  <si>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</si>
  <si>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</si>
  <si>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</si>
  <si>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</si>
  <si>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</si>
  <si>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</si>
  <si>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</si>
  <si>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</si>
  <si>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</si>
  <si>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</si>
  <si>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</si>
  <si>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</si>
  <si>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</si>
  <si>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</si>
  <si>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</si>
  <si>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</si>
  <si>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</si>
  <si>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</si>
  <si>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</si>
  <si>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</si>
  <si>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</si>
  <si>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</si>
  <si>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</si>
  <si>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</si>
  <si>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</si>
  <si>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</si>
  <si>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</si>
  <si>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</si>
  <si>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</si>
  <si>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</si>
  <si>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</si>
  <si>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</si>
  <si>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</si>
  <si>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</si>
  <si>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</si>
  <si>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</si>
  <si>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</si>
  <si>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</si>
  <si>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</si>
  <si>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</si>
  <si>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</si>
  <si>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</si>
  <si>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</si>
  <si>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</si>
  <si>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</si>
  <si>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</si>
  <si>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</si>
  <si>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</si>
  <si>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</si>
  <si>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</si>
  <si>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</si>
  <si>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</si>
  <si>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</si>
  <si>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</si>
  <si>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</si>
  <si>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</si>
  <si>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</si>
  <si>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</si>
  <si>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</si>
  <si>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</si>
  <si>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</si>
  <si>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</si>
  <si>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</si>
  <si>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</si>
  <si>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</si>
  <si>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</si>
  <si>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</si>
  <si>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</si>
  <si>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</si>
  <si>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</si>
  <si>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</si>
  <si>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</si>
  <si>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</si>
  <si>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</si>
  <si>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</si>
  <si>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</si>
  <si>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</si>
  <si>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</si>
  <si>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</si>
  <si>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</si>
  <si>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</si>
  <si>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</si>
  <si>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</si>
  <si>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</si>
  <si>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</si>
  <si>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</si>
  <si>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</si>
  <si>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</si>
  <si>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</si>
  <si>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</si>
  <si>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</si>
  <si>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</si>
  <si>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</si>
  <si>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</si>
  <si>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</si>
  <si>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</si>
  <si>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</si>
  <si>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</si>
  <si>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</si>
  <si>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</si>
  <si>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</si>
  <si>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</si>
  <si>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</si>
  <si>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</si>
  <si>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</si>
  <si>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</si>
  <si>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</si>
  <si>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</si>
  <si>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</si>
  <si>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</si>
  <si>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</si>
  <si>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</si>
  <si>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</si>
  <si>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</si>
  <si>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</si>
  <si>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</si>
  <si>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</si>
  <si>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</si>
  <si>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</si>
  <si>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</si>
  <si>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</si>
  <si>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</si>
  <si>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</si>
  <si>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</si>
  <si>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</si>
  <si>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</si>
  <si>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</si>
  <si>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</si>
  <si>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</si>
  <si>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</si>
  <si>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</si>
  <si>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</si>
  <si>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</si>
  <si>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</si>
  <si>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</si>
  <si>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</si>
  <si>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</si>
  <si>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</si>
  <si>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</si>
  <si>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</si>
  <si>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</si>
  <si>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</si>
  <si>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</si>
  <si>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</si>
  <si>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</si>
  <si>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</si>
  <si>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</si>
  <si>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</si>
  <si>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</si>
  <si>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</si>
  <si>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</si>
  <si>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</si>
  <si>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</si>
  <si>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</si>
  <si>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</si>
  <si>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</si>
  <si>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</si>
  <si>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</si>
  <si>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</si>
  <si>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</si>
  <si>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</si>
  <si>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</si>
  <si>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</si>
  <si>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</si>
  <si>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</si>
  <si>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</si>
  <si>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</si>
  <si>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</si>
  <si>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</si>
  <si>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</si>
  <si>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</si>
  <si>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</si>
  <si>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</si>
  <si>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</si>
  <si>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</si>
  <si>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</si>
  <si>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</si>
  <si>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</si>
  <si>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</si>
  <si>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</si>
  <si>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</si>
  <si>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</si>
  <si>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</si>
  <si>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</si>
  <si>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</si>
  <si>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</si>
  <si>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</si>
  <si>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</si>
  <si>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</si>
  <si>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</si>
  <si>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</si>
  <si>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</si>
  <si>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</si>
  <si>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</si>
  <si>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</si>
  <si>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</si>
  <si>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</si>
  <si>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</si>
  <si>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</si>
  <si>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</si>
  <si>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</si>
  <si>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</si>
  <si>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</si>
  <si>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</si>
  <si>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</si>
  <si>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</si>
  <si>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</si>
  <si>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</si>
  <si>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</si>
  <si>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</si>
  <si>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</si>
  <si>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</si>
  <si>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</si>
  <si>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</si>
  <si>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</si>
  <si>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</si>
  <si>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</si>
  <si>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</si>
  <si>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</si>
  <si>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</si>
  <si>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</si>
  <si>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</si>
  <si>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</si>
  <si>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</si>
  <si>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</si>
  <si>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</si>
  <si>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</si>
  <si>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</si>
  <si>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</si>
  <si>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</si>
  <si>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</si>
  <si>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</si>
  <si>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</si>
  <si>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</si>
  <si>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</si>
  <si>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</si>
  <si>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</si>
  <si>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</si>
  <si>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</si>
  <si>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</si>
  <si>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</si>
  <si>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</si>
  <si>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</si>
  <si>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</si>
  <si>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</si>
  <si>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</si>
  <si>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</si>
  <si>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</si>
  <si>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</si>
  <si>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</si>
  <si>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</si>
  <si>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</si>
  <si>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</si>
  <si>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</si>
  <si>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</si>
  <si>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</si>
  <si>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</si>
  <si>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</si>
  <si>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</si>
  <si>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</si>
  <si>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</si>
  <si>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</si>
  <si>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</si>
  <si>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</si>
  <si>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</si>
  <si>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</si>
  <si>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</si>
  <si>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</si>
  <si>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</si>
  <si>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</si>
  <si>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</si>
  <si>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</si>
  <si>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</si>
  <si>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</si>
  <si>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</si>
  <si>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</si>
  <si>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</si>
  <si>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</si>
  <si>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</si>
  <si>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</si>
  <si>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</si>
  <si>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</si>
  <si>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</si>
  <si>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</si>
  <si>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</si>
  <si>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</si>
  <si>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</si>
  <si>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</si>
  <si>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</si>
  <si>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</si>
  <si>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</si>
  <si>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</si>
  <si>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</si>
  <si>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</si>
  <si>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</si>
  <si>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</si>
  <si>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</si>
  <si>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</si>
  <si>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</si>
  <si>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</si>
  <si>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</si>
  <si>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</si>
  <si>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</si>
  <si>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</si>
  <si>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</si>
  <si>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</si>
  <si>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</si>
  <si>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</si>
  <si>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</si>
  <si>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</si>
  <si>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</si>
  <si>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</si>
  <si>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</si>
  <si>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</si>
  <si>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</si>
  <si>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</si>
  <si>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</si>
  <si>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</si>
  <si>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</si>
  <si>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</si>
  <si>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</si>
  <si>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</si>
  <si>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</si>
  <si>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</si>
  <si>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</si>
  <si>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</si>
  <si>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</si>
  <si>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</si>
  <si>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</si>
  <si>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</si>
  <si>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</si>
  <si>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</si>
  <si>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</si>
  <si>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</si>
  <si>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</si>
  <si>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</si>
  <si>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</si>
  <si>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</si>
  <si>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</si>
  <si>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</si>
  <si>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</si>
  <si>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</si>
  <si>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</si>
  <si>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</si>
  <si>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</si>
  <si>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</si>
  <si>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</si>
  <si>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</si>
  <si>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</si>
  <si>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</si>
  <si>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</si>
  <si>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</si>
  <si>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</si>
  <si>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</si>
  <si>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</si>
  <si>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</si>
  <si>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</si>
  <si>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</si>
  <si>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</si>
  <si>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</si>
  <si>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</si>
  <si>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</si>
  <si>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</si>
  <si>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</si>
  <si>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</si>
  <si>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</si>
  <si>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</si>
  <si>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</si>
  <si>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</si>
  <si>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</si>
  <si>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</si>
  <si>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</si>
  <si>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</si>
  <si>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</si>
  <si>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</si>
  <si>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</si>
  <si>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</si>
  <si>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</si>
  <si>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</si>
  <si>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</si>
  <si>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</si>
  <si>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</si>
  <si>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</si>
  <si>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</si>
  <si>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</si>
  <si>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</si>
  <si>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</si>
  <si>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</si>
  <si>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</si>
  <si>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</si>
  <si>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</si>
  <si>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</si>
  <si>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</si>
  <si>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</si>
  <si>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</si>
  <si>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</si>
  <si>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</si>
  <si>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</si>
  <si>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</si>
  <si>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</si>
  <si>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</si>
  <si>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</si>
  <si>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</si>
  <si>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</si>
  <si>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</si>
  <si>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</si>
  <si>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</si>
  <si>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</si>
  <si>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</si>
  <si>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</si>
  <si>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</si>
  <si>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</si>
  <si>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</si>
  <si>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</si>
  <si>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</si>
  <si>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</si>
  <si>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</si>
  <si>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</si>
  <si>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</si>
  <si>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</si>
  <si>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</si>
  <si>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</si>
  <si>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</si>
  <si>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</si>
  <si>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</si>
  <si>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</si>
  <si>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</si>
  <si>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</si>
  <si>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</si>
  <si>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</si>
  <si>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</si>
  <si>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</si>
  <si>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</si>
  <si>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</si>
  <si>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</si>
  <si>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</si>
  <si>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</si>
  <si>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</si>
  <si>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</si>
  <si>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</si>
  <si>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</si>
  <si>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</si>
  <si>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</si>
  <si>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</si>
  <si>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</si>
  <si>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</si>
  <si>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</si>
  <si>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</si>
  <si>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</si>
  <si>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</si>
  <si>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</si>
  <si>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</si>
  <si>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</si>
  <si>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</si>
  <si>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</si>
  <si>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</si>
  <si>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</si>
  <si>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</si>
  <si>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</si>
  <si>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</si>
  <si>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</si>
  <si>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</si>
  <si>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</si>
  <si>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</si>
  <si>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</si>
  <si>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</si>
  <si>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</si>
  <si>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</si>
  <si>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</si>
  <si>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</si>
  <si>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</si>
  <si>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</si>
  <si>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</si>
  <si>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</si>
  <si>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</si>
  <si>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</si>
  <si>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</si>
  <si>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</si>
  <si>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</si>
  <si>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</si>
  <si>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</si>
  <si>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</si>
  <si>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</si>
  <si>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</si>
  <si>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</si>
  <si>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</si>
  <si>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</si>
  <si>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</si>
  <si>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</si>
  <si>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</si>
  <si>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</si>
  <si>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</si>
  <si>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</si>
  <si>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</si>
  <si>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</si>
  <si>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</si>
  <si>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</si>
  <si>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</si>
  <si>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</si>
  <si>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</si>
  <si>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</si>
  <si>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</si>
  <si>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</si>
  <si>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</si>
  <si>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</si>
  <si>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</si>
  <si>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</si>
  <si>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</si>
  <si>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</si>
  <si>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</si>
  <si>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</si>
  <si>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</si>
  <si>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</si>
  <si>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</si>
  <si>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</si>
  <si>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</si>
  <si>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</si>
  <si>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</si>
  <si>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</si>
  <si>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</si>
  <si>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</si>
  <si>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</si>
  <si>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</si>
  <si>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</si>
  <si>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</si>
  <si>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</si>
  <si>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</si>
  <si>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</si>
  <si>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</si>
  <si>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</si>
  <si>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</si>
  <si>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</si>
  <si>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</si>
  <si>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</si>
  <si>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</si>
  <si>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</si>
  <si>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</si>
  <si>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</si>
  <si>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</si>
  <si>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</si>
  <si>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</si>
  <si>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</si>
  <si>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</si>
  <si>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</si>
  <si>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</si>
  <si>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</si>
  <si>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</si>
  <si>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</si>
  <si>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</si>
  <si>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</si>
  <si>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</si>
  <si>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</si>
  <si>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</si>
  <si>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</si>
  <si>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</si>
  <si>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</si>
  <si>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</si>
  <si>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</si>
  <si>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</si>
  <si>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</si>
  <si>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</si>
  <si>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</si>
  <si>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</si>
  <si>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</si>
  <si>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</si>
  <si>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</si>
  <si>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</si>
  <si>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</si>
  <si>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</si>
  <si>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</si>
  <si>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</si>
  <si>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</si>
  <si>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</si>
  <si>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</si>
  <si>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</si>
  <si>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</si>
  <si>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</si>
  <si>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</si>
  <si>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</si>
  <si>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</si>
  <si>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</si>
  <si>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</si>
  <si>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</si>
  <si>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</si>
  <si>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</si>
  <si>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</si>
  <si>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</si>
  <si>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</si>
  <si>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</si>
  <si>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</si>
  <si>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</si>
  <si>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</si>
  <si>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</si>
  <si>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</si>
  <si>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</si>
  <si>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</si>
  <si>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</si>
  <si>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</si>
  <si>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</si>
  <si>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</si>
  <si>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</si>
  <si>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</si>
  <si>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</si>
  <si>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</si>
  <si>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</si>
  <si>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</si>
  <si>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</si>
  <si>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</si>
  <si>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</si>
  <si>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</si>
  <si>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</si>
  <si>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</si>
  <si>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</si>
  <si>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</si>
  <si>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</si>
  <si>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</si>
  <si>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</si>
  <si>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</si>
  <si>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</si>
  <si>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</si>
  <si>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</si>
  <si>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</si>
  <si>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</si>
  <si>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</si>
  <si>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</si>
  <si>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</si>
  <si>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</si>
  <si>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</si>
  <si>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</si>
  <si>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</si>
  <si>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</si>
  <si>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</si>
  <si>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</si>
  <si>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</si>
  <si>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</si>
  <si>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</si>
  <si>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</si>
  <si>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</si>
  <si>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</si>
  <si>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</si>
  <si>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</si>
  <si>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</si>
  <si>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</si>
  <si>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</si>
  <si>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</si>
  <si>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</si>
  <si>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</si>
  <si>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</si>
  <si>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</si>
  <si>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</si>
  <si>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</si>
  <si>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</si>
  <si>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</si>
  <si>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</si>
  <si>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</si>
  <si>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</si>
  <si>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</si>
  <si>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</si>
  <si>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</si>
  <si>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</si>
  <si>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</si>
  <si>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</si>
  <si>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</si>
  <si>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</si>
  <si>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</si>
  <si>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</si>
  <si>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</si>
  <si>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</si>
  <si>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</si>
  <si>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</si>
  <si>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</si>
  <si>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</si>
  <si>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</si>
  <si>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</si>
  <si>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</si>
  <si>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</si>
  <si>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</si>
  <si>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</si>
  <si>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</si>
  <si>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</si>
  <si>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</si>
  <si>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</si>
  <si>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</si>
  <si>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</si>
  <si>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</si>
  <si>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</si>
  <si>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</si>
  <si>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</si>
  <si>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</si>
  <si>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</si>
  <si>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</si>
  <si>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</si>
  <si>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</si>
  <si>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</si>
  <si>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</si>
  <si>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</si>
  <si>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</si>
  <si>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</si>
  <si>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</si>
  <si>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</si>
  <si>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</si>
  <si>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</si>
  <si>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</si>
  <si>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</si>
  <si>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</si>
  <si>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</si>
  <si>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</si>
  <si>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</si>
  <si>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</si>
  <si>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</si>
  <si>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</si>
  <si>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</si>
  <si>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</si>
  <si>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</si>
  <si>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</si>
  <si>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</si>
  <si>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</si>
  <si>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</si>
  <si>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</si>
  <si>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</si>
  <si>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</si>
  <si>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</si>
  <si>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</si>
  <si>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</si>
  <si>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</si>
  <si>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</si>
  <si>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</si>
  <si>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</si>
  <si>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</si>
  <si>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</si>
  <si>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</si>
  <si>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</si>
  <si>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</si>
  <si>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</si>
  <si>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</si>
  <si>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</si>
  <si>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</si>
  <si>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</si>
  <si>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</si>
  <si>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</si>
  <si>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</si>
  <si>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</si>
  <si>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</si>
  <si>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</si>
  <si>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</si>
  <si>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</si>
  <si>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</si>
  <si>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</si>
  <si>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</si>
  <si>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</si>
  <si>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</si>
  <si>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</si>
  <si>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</si>
  <si>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</si>
  <si>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</si>
  <si>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</si>
  <si>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</si>
  <si>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</si>
  <si>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</si>
  <si>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</si>
  <si>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</si>
  <si>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</si>
  <si>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</si>
  <si>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</si>
  <si>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</si>
  <si>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</si>
  <si>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</si>
  <si>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</si>
  <si>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</si>
  <si>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</si>
  <si>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</si>
  <si>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</si>
  <si>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</si>
  <si>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</si>
  <si>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</si>
  <si>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</si>
  <si>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</si>
  <si>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</si>
  <si>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</si>
  <si>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</si>
  <si>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</si>
  <si>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</si>
  <si>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</si>
  <si>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</si>
  <si>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</si>
  <si>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</si>
  <si>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</si>
  <si>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</si>
  <si>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</si>
  <si>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</si>
  <si>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</si>
  <si>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</si>
  <si>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</si>
  <si>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</si>
  <si>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</si>
  <si>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</si>
  <si>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</si>
  <si>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</si>
  <si>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</si>
  <si>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</si>
  <si>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</si>
  <si>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</si>
  <si>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</si>
  <si>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</si>
  <si>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</si>
  <si>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</si>
  <si>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</si>
  <si>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</si>
  <si>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</si>
  <si>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</si>
  <si>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</si>
  <si>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</si>
  <si>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</si>
  <si>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</si>
  <si>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</si>
  <si>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</si>
  <si>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</si>
  <si>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</si>
  <si>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</si>
  <si>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</si>
  <si>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</si>
  <si>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</si>
  <si>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</si>
  <si>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</si>
  <si>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</si>
  <si>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</si>
  <si>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</si>
  <si>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</si>
  <si>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</si>
  <si>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</si>
  <si>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</si>
  <si>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</si>
  <si>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</si>
  <si>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</si>
  <si>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</si>
  <si>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</si>
  <si>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</si>
  <si>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</si>
  <si>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</si>
  <si>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</si>
  <si>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</si>
  <si>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</si>
  <si>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</si>
  <si>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</si>
  <si>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</si>
  <si>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</si>
  <si>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</si>
  <si>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</si>
  <si>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</si>
  <si>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</si>
  <si>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</si>
  <si>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</si>
  <si>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</si>
  <si>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</si>
  <si>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</si>
  <si>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</si>
  <si>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</si>
  <si>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</si>
  <si>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</si>
  <si>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</si>
  <si>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</si>
  <si>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</si>
  <si>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</si>
  <si>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</si>
  <si>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</si>
  <si>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</si>
  <si>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</si>
  <si>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</si>
  <si>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</si>
  <si>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</si>
  <si>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</si>
  <si>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</si>
  <si>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</si>
  <si>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</si>
  <si>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</si>
  <si>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</si>
  <si>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</si>
  <si>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</si>
  <si>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</si>
  <si>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</si>
  <si>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</si>
  <si>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</si>
  <si>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</si>
  <si>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</si>
  <si>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</si>
  <si>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</si>
  <si>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</si>
  <si>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</si>
  <si>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</si>
  <si>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</si>
  <si>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</si>
  <si>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</si>
  <si>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</si>
  <si>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</si>
  <si>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</si>
  <si>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</si>
  <si>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</si>
  <si>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</si>
  <si>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</si>
  <si>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</si>
  <si>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</si>
  <si>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</si>
  <si>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</si>
  <si>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</si>
  <si>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</si>
  <si>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</si>
  <si>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</si>
  <si>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</si>
  <si>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</si>
  <si>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</si>
  <si>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</si>
  <si>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</si>
  <si>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</si>
  <si>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</si>
  <si>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</si>
  <si>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</si>
  <si>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</si>
  <si>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</si>
  <si>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</si>
  <si>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</si>
  <si>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</si>
  <si>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</si>
  <si>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</si>
  <si>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</si>
  <si>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</si>
  <si>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</si>
  <si>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</si>
  <si>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</si>
  <si>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</si>
  <si>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</si>
  <si>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</si>
  <si>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</si>
  <si>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</si>
  <si>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</si>
  <si>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</si>
  <si>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</si>
  <si>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</si>
  <si>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</si>
  <si>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</si>
  <si>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</si>
  <si>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</si>
  <si>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</si>
  <si>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</si>
  <si>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</si>
  <si>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</si>
  <si>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</si>
  <si>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</si>
  <si>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</si>
  <si>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</si>
  <si>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</si>
  <si>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</si>
  <si>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</si>
  <si>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</si>
  <si>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</si>
  <si>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</si>
  <si>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</si>
  <si>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</si>
  <si>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</si>
  <si>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</si>
  <si>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</si>
  <si>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</si>
  <si>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</si>
  <si>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</si>
  <si>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</si>
  <si>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</si>
  <si>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</si>
  <si>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</si>
  <si>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</si>
  <si>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</si>
  <si>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</si>
  <si>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</si>
  <si>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</si>
  <si>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</si>
  <si>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</si>
  <si>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</si>
  <si>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</si>
  <si>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</si>
  <si>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</si>
  <si>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</si>
  <si>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</si>
  <si>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</si>
  <si>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</si>
  <si>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</si>
  <si>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</si>
  <si>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</si>
  <si>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</si>
  <si>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</si>
  <si>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</si>
  <si>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</si>
  <si>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</si>
  <si>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</si>
  <si>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</si>
  <si>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</si>
  <si>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</si>
  <si>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</si>
  <si>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</si>
  <si>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</si>
  <si>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</si>
  <si>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</si>
  <si>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</si>
  <si>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</si>
  <si>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</si>
  <si>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</si>
  <si>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</si>
  <si>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</si>
  <si>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</si>
  <si>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</si>
  <si>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</si>
  <si>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</si>
  <si>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</si>
  <si>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</si>
  <si>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</si>
  <si>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</si>
  <si>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</si>
  <si>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</si>
  <si>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</si>
  <si>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</si>
  <si>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</si>
  <si>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</si>
  <si>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</si>
  <si>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</si>
  <si>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</si>
  <si>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</si>
  <si>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</si>
  <si>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</si>
  <si>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</si>
  <si>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</si>
  <si>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</si>
  <si>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</si>
  <si>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</si>
  <si>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</si>
  <si>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</si>
  <si>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</si>
  <si>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</si>
  <si>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</si>
  <si>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</si>
  <si>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</si>
  <si>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</si>
  <si>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</si>
  <si>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</si>
  <si>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</si>
  <si>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</si>
  <si>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</si>
  <si>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</si>
  <si>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</si>
  <si>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</si>
  <si>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</si>
  <si>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</si>
  <si>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</si>
  <si>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</si>
  <si>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</si>
  <si>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</si>
  <si>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</si>
  <si>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</si>
  <si>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</si>
  <si>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</si>
  <si>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</si>
  <si>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</si>
  <si>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</si>
  <si>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</si>
  <si>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</si>
  <si>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</si>
  <si>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</si>
  <si>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</si>
  <si>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</si>
  <si>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</si>
  <si>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</si>
  <si>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</si>
  <si>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</si>
  <si>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</si>
  <si>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</si>
  <si>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</si>
  <si>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</si>
  <si>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</si>
  <si>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</si>
  <si>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</si>
  <si>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</si>
  <si>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</si>
  <si>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</si>
  <si>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</si>
  <si>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</si>
  <si>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</si>
  <si>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</si>
  <si>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</si>
  <si>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</si>
  <si>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</si>
  <si>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</si>
  <si>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</si>
  <si>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</si>
  <si>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</si>
  <si>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</si>
  <si>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</si>
  <si>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</si>
  <si>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</si>
  <si>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</si>
  <si>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</si>
  <si>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</si>
  <si>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</si>
  <si>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</si>
  <si>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</si>
  <si>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</si>
  <si>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</si>
  <si>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</si>
  <si>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</si>
  <si>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</si>
  <si>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</si>
  <si>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</si>
  <si>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</si>
  <si>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</si>
  <si>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</si>
  <si>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</si>
  <si>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</si>
  <si>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</si>
  <si>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</si>
  <si>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</si>
  <si>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</si>
  <si>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</si>
  <si>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</si>
  <si>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</si>
  <si>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</si>
  <si>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</si>
  <si>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</si>
  <si>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</si>
  <si>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</si>
  <si>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</si>
  <si>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</si>
  <si>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</si>
  <si>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</si>
  <si>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</si>
  <si>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</si>
  <si>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</si>
  <si>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</si>
  <si>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</si>
  <si>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</si>
  <si>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</si>
  <si>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</si>
  <si>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</si>
  <si>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</si>
  <si>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</si>
  <si>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</si>
  <si>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</si>
  <si>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</si>
  <si>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</si>
  <si>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</si>
  <si>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</si>
  <si>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</si>
  <si>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</si>
  <si>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</si>
  <si>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</si>
  <si>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</si>
  <si>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</si>
  <si>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</si>
  <si>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</si>
  <si>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</si>
  <si>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</si>
  <si>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</si>
  <si>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</si>
  <si>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</si>
  <si>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</si>
  <si>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</si>
  <si>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</si>
  <si>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</si>
  <si>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</si>
  <si>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</si>
  <si>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</si>
  <si>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</si>
  <si>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</si>
  <si>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</si>
  <si>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</si>
  <si>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</si>
  <si>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</si>
  <si>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</si>
  <si>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</si>
  <si>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</si>
  <si>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</si>
  <si>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</si>
  <si>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</si>
  <si>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</si>
  <si>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</si>
  <si>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</si>
  <si>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</si>
  <si>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</si>
  <si>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</si>
  <si>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</si>
  <si>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</si>
  <si>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</si>
  <si>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</si>
  <si>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</si>
  <si>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</si>
  <si>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</si>
  <si>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</si>
  <si>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</si>
  <si>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</si>
  <si>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</si>
  <si>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</si>
  <si>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</si>
  <si>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</si>
  <si>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</si>
  <si>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</si>
  <si>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</si>
  <si>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</si>
  <si>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</si>
  <si>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</si>
  <si>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</si>
  <si>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</si>
  <si>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</si>
  <si>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</si>
  <si>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</si>
  <si>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</si>
  <si>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</si>
  <si>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</si>
  <si>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</si>
  <si>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</si>
  <si>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</si>
  <si>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</si>
  <si>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</si>
  <si>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</si>
  <si>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</si>
  <si>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</si>
  <si>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</si>
  <si>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</si>
  <si>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</si>
  <si>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</si>
  <si>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</si>
  <si>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</si>
  <si>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</si>
  <si>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</si>
  <si>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</si>
  <si>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</si>
  <si>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</si>
  <si>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</si>
  <si>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</si>
  <si>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</si>
  <si>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</si>
  <si>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</si>
  <si>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</si>
  <si>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</si>
  <si>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</si>
  <si>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</si>
  <si>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</si>
  <si>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</si>
  <si>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</si>
  <si>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</si>
  <si>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</si>
  <si>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</si>
  <si>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</si>
  <si>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</si>
  <si>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</si>
  <si>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</si>
  <si>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</si>
  <si>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</si>
  <si>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</si>
  <si>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</si>
  <si>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</si>
  <si>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</si>
  <si>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</si>
  <si>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</si>
  <si>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</si>
  <si>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</si>
  <si>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</si>
  <si>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</si>
  <si>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</si>
  <si>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</si>
  <si>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</si>
  <si>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</si>
  <si>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</si>
  <si>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</si>
  <si>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</si>
  <si>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</si>
  <si>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</si>
  <si>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</si>
  <si>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</si>
  <si>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</si>
  <si>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</si>
  <si>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</si>
  <si>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</si>
  <si>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</si>
  <si>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</si>
  <si>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</si>
  <si>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</si>
  <si>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</si>
  <si>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</si>
  <si>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</si>
  <si>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</si>
  <si>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</si>
  <si>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</si>
  <si>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</si>
  <si>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</si>
  <si>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</si>
  <si>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</si>
  <si>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</si>
  <si>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</si>
  <si>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</si>
  <si>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</si>
  <si>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</si>
  <si>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</si>
  <si>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</si>
  <si>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</si>
  <si>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</si>
  <si>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</si>
  <si>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</si>
  <si>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</si>
  <si>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</si>
  <si>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</si>
  <si>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</si>
  <si>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</si>
  <si>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</si>
  <si>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</si>
  <si>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</si>
  <si>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</si>
  <si>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</si>
  <si>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</si>
  <si>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</si>
  <si>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</si>
  <si>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</si>
  <si>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</si>
  <si>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</si>
  <si>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</si>
  <si>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</si>
  <si>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</si>
  <si>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</si>
  <si>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</si>
  <si>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</si>
  <si>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</si>
  <si>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</si>
  <si>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</si>
  <si>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</si>
  <si>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</si>
  <si>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</si>
  <si>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</si>
  <si>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</si>
  <si>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</si>
  <si>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</si>
  <si>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</si>
  <si>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</si>
  <si>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</si>
  <si>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</si>
  <si>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</si>
  <si>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</si>
  <si>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</si>
  <si>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</si>
  <si>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</si>
  <si>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</si>
  <si>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</si>
  <si>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</si>
  <si>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</si>
  <si>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</si>
  <si>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</si>
  <si>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</si>
  <si>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</si>
  <si>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</si>
  <si>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</si>
  <si>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</si>
  <si>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</si>
  <si>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</si>
  <si>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</si>
  <si>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</si>
  <si>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</si>
  <si>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</si>
  <si>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</si>
  <si>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</si>
  <si>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</si>
  <si>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</si>
  <si>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</si>
  <si>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</si>
  <si>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</si>
  <si>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</si>
  <si>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</si>
  <si>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</si>
  <si>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</si>
  <si>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</si>
  <si>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</si>
  <si>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</si>
  <si>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</si>
  <si>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</si>
  <si>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</si>
  <si>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</si>
  <si>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</si>
  <si>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</si>
  <si>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</si>
  <si>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</si>
  <si>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</si>
  <si>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</si>
  <si>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</si>
  <si>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</si>
  <si>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</si>
  <si>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</si>
  <si>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</si>
  <si>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</si>
  <si>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</si>
  <si>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</si>
  <si>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</si>
  <si>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</si>
  <si>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</si>
  <si>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</si>
  <si>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</si>
  <si>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</si>
  <si>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</si>
  <si>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</si>
  <si>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</si>
  <si>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</si>
  <si>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</si>
  <si>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</si>
  <si>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</si>
  <si>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</si>
  <si>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</si>
  <si>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</si>
  <si>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</si>
  <si>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</si>
  <si>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</si>
  <si>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</si>
  <si>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</si>
  <si>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</si>
  <si>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</si>
  <si>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</si>
  <si>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</si>
  <si>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</si>
  <si>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</si>
  <si>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</si>
  <si>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</si>
  <si>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</si>
  <si>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</si>
  <si>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</si>
  <si>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</si>
  <si>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</si>
  <si>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</si>
  <si>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</si>
  <si>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</si>
  <si>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</si>
  <si>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</si>
  <si>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</si>
  <si>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</si>
  <si>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</si>
  <si>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</si>
  <si>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</si>
  <si>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</si>
  <si>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</si>
  <si>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</si>
  <si>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</si>
  <si>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</si>
  <si>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</si>
  <si>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</si>
  <si>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</si>
  <si>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</si>
  <si>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</si>
  <si>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</si>
  <si>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</si>
  <si>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</si>
  <si>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</si>
  <si>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</si>
  <si>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</si>
  <si>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</si>
  <si>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</si>
  <si>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</si>
  <si>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</si>
  <si>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</si>
  <si>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</si>
  <si>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</si>
  <si>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</si>
  <si>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</si>
  <si>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</si>
  <si>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</si>
  <si>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</si>
  <si>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</si>
  <si>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</si>
  <si>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</si>
  <si>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</si>
  <si>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</si>
  <si>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</si>
  <si>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</si>
  <si>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</si>
  <si>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</si>
  <si>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</si>
  <si>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</si>
  <si>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</si>
  <si>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</si>
  <si>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</si>
  <si>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</si>
  <si>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</si>
  <si>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</si>
  <si>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</si>
  <si>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</si>
  <si>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</si>
  <si>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</si>
  <si>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</si>
  <si>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</si>
  <si>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</si>
  <si>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</si>
  <si>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</si>
  <si>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</si>
  <si>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</si>
  <si>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</si>
  <si>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</si>
  <si>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</si>
  <si>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</si>
  <si>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</si>
  <si>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</si>
  <si>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</si>
  <si>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</si>
  <si>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</si>
  <si>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</si>
  <si>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</si>
  <si>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</si>
  <si>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</si>
  <si>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</si>
  <si>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</si>
  <si>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</si>
  <si>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</si>
  <si>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</si>
  <si>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</si>
  <si>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</si>
  <si>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</si>
  <si>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</si>
  <si>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</si>
  <si>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</si>
  <si>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</si>
  <si>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</si>
  <si>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</si>
  <si>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</si>
  <si>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</si>
  <si>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</si>
  <si>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</si>
  <si>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</si>
  <si>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</si>
  <si>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</si>
  <si>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</si>
  <si>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</si>
  <si>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</si>
  <si>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</si>
  <si>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</si>
  <si>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</si>
  <si>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</si>
  <si>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</si>
  <si>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</si>
  <si>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</si>
  <si>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</si>
  <si>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</si>
  <si>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</si>
  <si>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</si>
  <si>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</si>
  <si>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</si>
  <si>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</si>
  <si>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</si>
  <si>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</si>
  <si>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</si>
  <si>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</si>
  <si>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</si>
  <si>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</si>
  <si>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</si>
  <si>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</si>
  <si>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</si>
  <si>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</si>
  <si>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</si>
  <si>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</si>
  <si>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</si>
  <si>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</si>
  <si>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</si>
  <si>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</si>
  <si>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</si>
  <si>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</si>
  <si>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</si>
  <si>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</si>
  <si>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</si>
  <si>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</si>
  <si>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</si>
  <si>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</si>
  <si>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</si>
  <si>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</si>
  <si>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</si>
  <si>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</si>
  <si>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</si>
  <si>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</si>
  <si>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</si>
  <si>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</si>
  <si>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</si>
  <si>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</si>
  <si>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</si>
  <si>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</si>
  <si>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</si>
  <si>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</si>
  <si>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</si>
  <si>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</si>
  <si>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</si>
  <si>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</si>
  <si>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</si>
  <si>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</si>
  <si>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</si>
  <si>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</si>
  <si>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</si>
  <si>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</si>
  <si>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</si>
  <si>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</si>
  <si>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</si>
  <si>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</si>
  <si>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</si>
  <si>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</si>
  <si>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</si>
  <si>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</si>
  <si>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</si>
  <si>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</si>
  <si>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</si>
  <si>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</si>
  <si>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</si>
  <si>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</si>
  <si>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</si>
  <si>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</si>
  <si>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</si>
  <si>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</si>
  <si>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</si>
  <si>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</si>
  <si>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</si>
  <si>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</si>
  <si>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</si>
  <si>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</si>
  <si>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</si>
  <si>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</si>
  <si>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</si>
  <si>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</si>
  <si>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</si>
  <si>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</si>
  <si>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</si>
  <si>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</si>
  <si>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</si>
  <si>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</si>
  <si>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</si>
  <si>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</si>
  <si>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</si>
  <si>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</si>
  <si>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</si>
  <si>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</si>
  <si>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</si>
  <si>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</si>
  <si>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</si>
  <si>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</si>
  <si>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</si>
  <si>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</si>
  <si>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</si>
  <si>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</si>
  <si>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</si>
  <si>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</si>
  <si>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</si>
  <si>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</si>
  <si>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</si>
  <si>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</si>
  <si>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</si>
  <si>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</si>
  <si>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</si>
  <si>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</si>
  <si>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</si>
  <si>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</si>
  <si>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</si>
  <si>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</si>
  <si>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</si>
  <si>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</si>
  <si>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</si>
  <si>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</si>
  <si>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</si>
  <si>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</si>
  <si>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</si>
  <si>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</si>
  <si>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</si>
  <si>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</si>
  <si>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</si>
  <si>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</si>
  <si>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</si>
  <si>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</si>
  <si>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</si>
  <si>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</si>
  <si>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</si>
  <si>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</si>
  <si>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</si>
  <si>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</si>
  <si>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</si>
  <si>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</si>
  <si>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</si>
  <si>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</si>
  <si>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</si>
  <si>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</si>
  <si>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</si>
  <si>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</si>
  <si>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</si>
  <si>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</si>
  <si>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</si>
  <si>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</si>
  <si>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</si>
  <si>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</si>
  <si>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</si>
  <si>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</si>
  <si>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</si>
  <si>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</si>
  <si>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</si>
  <si>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</si>
  <si>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</si>
  <si>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</si>
  <si>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</si>
  <si>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</si>
  <si>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</si>
  <si>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</si>
  <si>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</si>
  <si>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</si>
  <si>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</si>
  <si>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</si>
  <si>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</si>
  <si>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</si>
  <si>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</si>
  <si>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</si>
  <si>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</si>
  <si>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</si>
  <si>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</si>
  <si>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</si>
  <si>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</si>
  <si>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</si>
  <si>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</si>
  <si>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</si>
  <si>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</si>
  <si>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</si>
  <si>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</si>
  <si>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</si>
  <si>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</si>
  <si>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</si>
  <si>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</si>
  <si>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</si>
  <si>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</si>
  <si>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</si>
  <si>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</si>
  <si>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</si>
  <si>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</si>
  <si>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</si>
  <si>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</si>
  <si>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</si>
  <si>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</si>
  <si>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</si>
  <si>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</si>
  <si>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</si>
  <si>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</si>
  <si>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</si>
  <si>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</si>
  <si>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</si>
  <si>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</si>
  <si>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</si>
  <si>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</si>
  <si>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</si>
  <si>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</si>
  <si>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</si>
  <si>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</si>
  <si>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</si>
  <si>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</si>
  <si>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</si>
  <si>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</si>
  <si>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</si>
  <si>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</si>
  <si>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</si>
  <si>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</si>
  <si>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</si>
  <si>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</si>
  <si>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</si>
  <si>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</si>
  <si>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</si>
  <si>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</si>
  <si>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</si>
  <si>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</si>
  <si>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</si>
  <si>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</si>
  <si>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</si>
  <si>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</si>
  <si>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</si>
  <si>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</si>
  <si>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</si>
  <si>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</si>
  <si>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</si>
  <si>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</si>
  <si>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</si>
  <si>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</si>
  <si>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</si>
  <si>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</si>
  <si>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</si>
  <si>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</si>
  <si>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</si>
  <si>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</si>
  <si>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</si>
  <si>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</si>
  <si>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</si>
  <si>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</si>
  <si>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</si>
  <si>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</si>
  <si>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</si>
  <si>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</si>
  <si>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</si>
  <si>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</si>
  <si>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</si>
  <si>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</si>
  <si>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</si>
  <si>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</si>
  <si>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</si>
  <si>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</si>
  <si>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</si>
  <si>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</si>
  <si>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</si>
  <si>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</si>
  <si>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</si>
  <si>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</si>
  <si>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</si>
  <si>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</si>
  <si>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</si>
  <si>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</si>
  <si>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</si>
  <si>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</si>
  <si>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</si>
  <si>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</si>
  <si>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</si>
  <si>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</si>
  <si>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</si>
  <si>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</si>
  <si>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</si>
  <si>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</si>
  <si>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</si>
  <si>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</si>
  <si>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</si>
  <si>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</si>
  <si>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</si>
  <si>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</si>
  <si>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</si>
  <si>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</si>
  <si>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</si>
  <si>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</si>
  <si>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</si>
  <si>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</si>
  <si>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</si>
  <si>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</si>
  <si>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</si>
  <si>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</si>
  <si>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</si>
  <si>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</si>
  <si>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</si>
  <si>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</si>
  <si>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</si>
  <si>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</si>
  <si>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</si>
  <si>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</si>
  <si>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</si>
  <si>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</si>
  <si>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</si>
  <si>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</si>
  <si>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</si>
  <si>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</si>
  <si>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</si>
  <si>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</si>
  <si>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</si>
  <si>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</si>
  <si>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</si>
  <si>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</si>
  <si>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</si>
  <si>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</si>
  <si>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</si>
  <si>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</si>
  <si>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</si>
  <si>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</si>
  <si>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</si>
  <si>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</si>
  <si>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</si>
  <si>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</si>
  <si>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</si>
  <si>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</si>
  <si>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</si>
  <si>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</si>
  <si>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</si>
  <si>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</si>
  <si>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</si>
  <si>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</si>
  <si>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</si>
  <si>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</si>
  <si>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</si>
  <si>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</si>
  <si>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</si>
  <si>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</si>
  <si>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</si>
  <si>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</si>
  <si>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</si>
  <si>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</si>
  <si>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</si>
  <si>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</si>
  <si>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</si>
  <si>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</si>
  <si>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</si>
  <si>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</si>
  <si>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</si>
  <si>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</si>
  <si>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</si>
  <si>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</si>
  <si>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</si>
  <si>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</si>
  <si>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</si>
  <si>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</si>
  <si>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</si>
  <si>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</si>
  <si>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</si>
  <si>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</si>
  <si>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</si>
  <si>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</si>
  <si>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</si>
  <si>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</si>
  <si>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</si>
  <si>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</si>
  <si>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</si>
  <si>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</si>
  <si>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</si>
  <si>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</si>
  <si>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</si>
  <si>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</si>
  <si>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</si>
  <si>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</si>
  <si>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</si>
  <si>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</si>
  <si>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</si>
  <si>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</si>
  <si>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</si>
  <si>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</si>
  <si>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</si>
  <si>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</si>
  <si>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</si>
  <si>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</si>
  <si>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</si>
  <si>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</si>
  <si>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</si>
  <si>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</si>
  <si>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</si>
  <si>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</si>
  <si>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</si>
  <si>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</si>
  <si>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</si>
  <si>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</si>
  <si>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</si>
  <si>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</si>
  <si>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</si>
  <si>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</si>
  <si>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</si>
  <si>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</si>
  <si>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</si>
  <si>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</si>
  <si>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</si>
  <si>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</si>
  <si>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</si>
  <si>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</si>
  <si>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</si>
  <si>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</si>
  <si>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</si>
  <si>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</si>
  <si>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</si>
  <si>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</si>
  <si>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</si>
  <si>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</si>
  <si>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</si>
  <si>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</si>
  <si>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</si>
  <si>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</si>
  <si>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</si>
  <si>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</si>
  <si>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</si>
  <si>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</si>
  <si>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</si>
  <si>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</si>
  <si>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</si>
  <si>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</si>
  <si>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</si>
  <si>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</si>
  <si>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</si>
  <si>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</si>
  <si>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</si>
  <si>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</si>
  <si>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</si>
  <si>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</si>
  <si>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</si>
  <si>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</si>
  <si>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</si>
  <si>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</si>
  <si>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</si>
  <si>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</si>
  <si>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</si>
  <si>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</si>
  <si>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</si>
  <si>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</si>
  <si>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</si>
  <si>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</si>
  <si>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</si>
  <si>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</si>
  <si>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</si>
  <si>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</si>
  <si>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</si>
  <si>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</si>
  <si>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</si>
  <si>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</si>
  <si>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</si>
  <si>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</si>
  <si>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</si>
  <si>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</si>
  <si>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</si>
  <si>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</si>
  <si>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</si>
  <si>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</si>
  <si>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</si>
  <si>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</si>
  <si>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</si>
  <si>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</si>
  <si>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</si>
  <si>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</si>
  <si>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</si>
  <si>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</si>
  <si>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</si>
  <si>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</si>
  <si>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</si>
  <si>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</si>
  <si>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</si>
  <si>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</si>
  <si>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</si>
  <si>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</si>
  <si>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</si>
  <si>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</si>
  <si>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</si>
  <si>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</si>
  <si>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</si>
  <si>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</si>
  <si>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</si>
  <si>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</si>
  <si>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</si>
  <si>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</si>
  <si>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</si>
  <si>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</si>
  <si>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</si>
  <si>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</si>
  <si>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</si>
  <si>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</si>
  <si>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</si>
  <si>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</si>
  <si>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</si>
  <si>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</si>
  <si>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</si>
  <si>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</si>
  <si>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</si>
  <si>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</si>
  <si>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</si>
  <si>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</si>
  <si>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</si>
  <si>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</si>
  <si>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</si>
  <si>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</si>
  <si>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</si>
  <si>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</si>
  <si>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</si>
  <si>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</si>
  <si>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</si>
  <si>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</si>
  <si>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</si>
  <si>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</si>
  <si>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</si>
  <si>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</si>
  <si>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</si>
  <si>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</si>
  <si>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</si>
  <si>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</si>
  <si>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</si>
  <si>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</si>
  <si>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</si>
  <si>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</si>
  <si>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</si>
  <si>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</si>
  <si>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</si>
  <si>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</si>
  <si>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</si>
  <si>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</si>
  <si>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</si>
  <si>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</si>
  <si>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</si>
  <si>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</si>
  <si>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</si>
  <si>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</si>
  <si>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</si>
  <si>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</si>
  <si>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</si>
  <si>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</si>
  <si>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</si>
  <si>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</si>
  <si>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</si>
  <si>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</si>
  <si>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</si>
  <si>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</si>
  <si>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</si>
  <si>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</si>
  <si>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</si>
  <si>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</si>
  <si>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</si>
  <si>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</si>
  <si>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</si>
  <si>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</si>
  <si>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</si>
  <si>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</si>
  <si>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</si>
  <si>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</si>
  <si>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</si>
  <si>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</si>
  <si>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</si>
  <si>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</si>
  <si>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</si>
  <si>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</si>
  <si>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</si>
  <si>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</si>
  <si>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</si>
  <si>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</si>
  <si>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</si>
  <si>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</si>
  <si>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</si>
  <si>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</si>
  <si>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</si>
  <si>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</si>
  <si>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</si>
  <si>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</si>
  <si>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</si>
  <si>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</si>
  <si>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</si>
  <si>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</si>
  <si>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</si>
  <si>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</si>
  <si>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</si>
  <si>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</si>
  <si>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</si>
  <si>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</si>
  <si>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</si>
  <si>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</si>
  <si>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</si>
  <si>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</si>
  <si>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</si>
  <si>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</si>
  <si>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</si>
  <si>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</si>
  <si>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</si>
  <si>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</si>
  <si>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</si>
  <si>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</si>
  <si>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</si>
  <si>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</si>
  <si>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</si>
  <si>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</si>
  <si>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</si>
  <si>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</si>
  <si>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</si>
  <si>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</si>
  <si>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</si>
  <si>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</si>
  <si>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</si>
  <si>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</si>
  <si>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</si>
  <si>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</si>
  <si>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</si>
  <si>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</si>
  <si>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</si>
  <si>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</si>
  <si>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</si>
  <si>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</si>
  <si>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</si>
  <si>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</si>
  <si>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</si>
  <si>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</si>
  <si>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</si>
  <si>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</si>
  <si>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</si>
  <si>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</si>
  <si>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</si>
  <si>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</si>
  <si>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</si>
  <si>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</si>
  <si>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</si>
  <si>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</si>
  <si>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</si>
  <si>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</si>
  <si>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</si>
  <si>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</si>
  <si>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</si>
  <si>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</si>
  <si>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</si>
  <si>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</si>
  <si>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</si>
  <si>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</si>
  <si>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</si>
  <si>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</si>
  <si>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</si>
  <si>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</si>
  <si>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</si>
  <si>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</si>
  <si>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</si>
  <si>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</si>
  <si>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</si>
  <si>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</si>
  <si>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</si>
  <si>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</si>
  <si>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</si>
  <si>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</si>
  <si>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</si>
  <si>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</si>
  <si>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</si>
  <si>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</si>
  <si>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</si>
  <si>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</si>
  <si>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</si>
  <si>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</si>
  <si>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</si>
  <si>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</si>
  <si>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</si>
  <si>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</si>
  <si>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</si>
  <si>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</si>
  <si>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</si>
  <si>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</si>
  <si>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</si>
  <si>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</si>
  <si>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</si>
  <si>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</si>
  <si>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</si>
  <si>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</si>
  <si>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</si>
  <si>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</si>
  <si>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</si>
  <si>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</si>
  <si>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</si>
  <si>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</si>
  <si>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</si>
  <si>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</si>
  <si>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</si>
  <si>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</si>
  <si>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</si>
  <si>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</si>
  <si>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</si>
  <si>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</si>
  <si>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</si>
  <si>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</si>
  <si>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</si>
  <si>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</si>
  <si>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</si>
  <si>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</si>
  <si>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</si>
  <si>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</si>
  <si>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</si>
  <si>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</si>
  <si>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</si>
  <si>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</si>
  <si>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</si>
  <si>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</si>
  <si>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</si>
  <si>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</si>
  <si>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</si>
  <si>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</si>
  <si>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</si>
  <si>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</si>
  <si>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</si>
  <si>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</si>
  <si>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</si>
  <si>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</si>
  <si>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</si>
  <si>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</si>
  <si>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</si>
  <si>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</si>
  <si>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</si>
  <si>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</si>
  <si>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</si>
  <si>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</si>
  <si>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</si>
  <si>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</si>
  <si>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</si>
  <si>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</si>
  <si>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</si>
  <si>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</si>
  <si>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</si>
  <si>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</si>
  <si>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</si>
  <si>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</si>
  <si>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</si>
  <si>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</si>
  <si>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</si>
  <si>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</si>
  <si>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</si>
  <si>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</si>
  <si>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</si>
  <si>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</si>
  <si>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</si>
  <si>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</si>
  <si>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</si>
  <si>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</si>
  <si>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</si>
  <si>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</si>
  <si>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</si>
  <si>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</si>
  <si>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</si>
  <si>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</si>
  <si>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</si>
  <si>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</si>
  <si>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</si>
  <si>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</si>
  <si>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</si>
  <si>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</si>
  <si>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</si>
  <si>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</si>
  <si>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</si>
  <si>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</si>
  <si>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</si>
  <si>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</si>
  <si>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</si>
  <si>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</si>
  <si>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</si>
  <si>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</si>
  <si>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</si>
  <si>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</si>
  <si>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</si>
  <si>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</si>
  <si>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</si>
  <si>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</si>
  <si>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</si>
  <si>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</si>
  <si>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</si>
  <si>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</si>
  <si>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</si>
  <si>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</si>
  <si>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</si>
  <si>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</si>
  <si>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</si>
  <si>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</si>
  <si>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</si>
  <si>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</si>
  <si>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</si>
  <si>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</si>
  <si>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</si>
  <si>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</si>
  <si>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</si>
  <si>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</si>
  <si>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</si>
  <si>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</si>
  <si>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</si>
  <si>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</si>
  <si>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</si>
  <si>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</si>
  <si>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</si>
  <si>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</si>
  <si>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</si>
  <si>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</si>
  <si>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</si>
  <si>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</si>
  <si>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</si>
  <si>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</si>
  <si>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</si>
  <si>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</si>
  <si>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</si>
  <si>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</si>
  <si>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</si>
  <si>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</si>
  <si>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</si>
  <si>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</si>
  <si>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</si>
  <si>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</si>
  <si>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</si>
  <si>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</si>
  <si>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</si>
  <si>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</si>
  <si>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</si>
  <si>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</si>
  <si>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</si>
  <si>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</si>
  <si>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</si>
  <si>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</si>
  <si>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</si>
  <si>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</si>
  <si>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</si>
  <si>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</si>
  <si>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</si>
  <si>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</si>
  <si>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</si>
  <si>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</si>
  <si>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</si>
  <si>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</si>
  <si>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</si>
  <si>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</si>
  <si>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</si>
  <si>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</si>
  <si>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</si>
  <si>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</si>
  <si>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</si>
  <si>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</si>
  <si>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</si>
  <si>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</si>
  <si>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</si>
  <si>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</si>
  <si>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</si>
  <si>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</si>
  <si>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</si>
  <si>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</si>
  <si>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</si>
  <si>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</si>
  <si>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</si>
  <si>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</si>
  <si>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</si>
  <si>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</si>
  <si>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</si>
  <si>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</si>
  <si>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</si>
  <si>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</si>
  <si>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</si>
  <si>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</si>
  <si>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</si>
  <si>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</si>
  <si>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</si>
  <si>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</si>
  <si>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</si>
  <si>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</si>
  <si>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</si>
  <si>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</si>
  <si>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</si>
  <si>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</si>
  <si>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</si>
  <si>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</si>
  <si>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</si>
  <si>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</si>
  <si>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</si>
  <si>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</si>
  <si>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</si>
  <si>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</si>
  <si>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</si>
  <si>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</si>
  <si>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</si>
  <si>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</si>
  <si>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</si>
  <si>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</si>
  <si>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</si>
  <si>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</si>
  <si>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</si>
  <si>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</si>
  <si>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</si>
  <si>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</si>
  <si>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</si>
  <si>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</si>
  <si>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</si>
  <si>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</si>
  <si>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</si>
  <si>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</si>
  <si>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</si>
  <si>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</si>
  <si>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</si>
  <si>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</si>
  <si>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</si>
  <si>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</si>
  <si>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</si>
  <si>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</si>
  <si>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</si>
  <si>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</si>
  <si>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</si>
  <si>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</si>
  <si>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</si>
  <si>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</si>
  <si>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</si>
  <si>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</si>
  <si>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</si>
  <si>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</si>
  <si>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</si>
  <si>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</si>
  <si>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</si>
  <si>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</si>
  <si>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</si>
  <si>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</si>
  <si>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</si>
  <si>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</si>
  <si>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</si>
  <si>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</si>
  <si>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</si>
  <si>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</si>
  <si>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</si>
  <si>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</si>
  <si>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</si>
  <si>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</si>
  <si>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</si>
  <si>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</si>
  <si>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</si>
  <si>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</si>
  <si>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</si>
  <si>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</si>
  <si>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</si>
  <si>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</si>
  <si>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</si>
  <si>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</si>
  <si>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</si>
  <si>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</si>
  <si>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</si>
  <si>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</si>
  <si>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</si>
  <si>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</si>
  <si>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</si>
  <si>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</si>
  <si>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</si>
  <si>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</si>
  <si>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</si>
  <si>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</si>
  <si>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</si>
  <si>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</si>
  <si>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</si>
  <si>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</si>
  <si>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</si>
  <si>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</si>
  <si>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</si>
  <si>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</si>
  <si>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</si>
  <si>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</si>
  <si>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</si>
  <si>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</si>
  <si>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</si>
  <si>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</si>
  <si>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</si>
  <si>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</si>
  <si>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</si>
  <si>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</si>
  <si>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</si>
  <si>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</si>
  <si>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</si>
  <si>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</si>
  <si>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</si>
  <si>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</si>
  <si>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</si>
  <si>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</si>
  <si>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</si>
  <si>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</si>
  <si>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</si>
  <si>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</si>
  <si>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</si>
  <si>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</si>
  <si>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</si>
  <si>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</si>
  <si>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</si>
  <si>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</si>
  <si>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</si>
  <si>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</si>
  <si>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</si>
  <si>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</si>
  <si>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</si>
  <si>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</si>
  <si>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</si>
  <si>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</si>
  <si>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</si>
  <si>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</si>
  <si>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</si>
  <si>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</si>
  <si>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</si>
  <si>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</si>
  <si>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</si>
  <si>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</si>
  <si>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</si>
  <si>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</si>
  <si>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</si>
  <si>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</si>
  <si>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</si>
  <si>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</si>
  <si>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</si>
  <si>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</si>
  <si>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</si>
  <si>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</si>
  <si>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</si>
  <si>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</si>
  <si>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</si>
  <si>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</si>
  <si>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</si>
  <si>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</si>
  <si>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</si>
  <si>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</si>
  <si>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</si>
  <si>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</si>
  <si>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</si>
  <si>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</si>
  <si>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</si>
  <si>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</si>
  <si>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</si>
  <si>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</si>
  <si>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</si>
  <si>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</si>
  <si>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</si>
  <si>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</si>
  <si>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</si>
  <si>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</si>
  <si>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</si>
  <si>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</si>
  <si>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</si>
  <si>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</si>
  <si>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</si>
  <si>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</si>
  <si>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</si>
  <si>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</si>
  <si>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</si>
  <si>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</si>
  <si>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</si>
  <si>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</si>
  <si>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</si>
  <si>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</si>
  <si>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</si>
  <si>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</si>
  <si>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</si>
  <si>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</si>
  <si>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</si>
  <si>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</si>
  <si>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</si>
  <si>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</si>
  <si>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</si>
  <si>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</si>
  <si>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</si>
  <si>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</si>
  <si>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</si>
  <si>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</si>
  <si>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</si>
  <si>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</si>
  <si>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</si>
  <si>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</si>
  <si>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</si>
  <si>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</si>
  <si>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</si>
  <si>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</si>
  <si>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</si>
  <si>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</si>
  <si>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</si>
  <si>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</si>
  <si>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</si>
  <si>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</si>
  <si>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</si>
  <si>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</si>
  <si>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</si>
  <si>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</si>
  <si>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</si>
  <si>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</si>
  <si>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</si>
  <si>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</si>
  <si>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</si>
  <si>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</si>
  <si>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</si>
  <si>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</si>
  <si>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</si>
  <si>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</si>
  <si>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</si>
  <si>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</si>
  <si>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</si>
  <si>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</si>
  <si>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</si>
  <si>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</si>
  <si>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</si>
  <si>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</si>
  <si>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</si>
  <si>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</si>
  <si>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</si>
  <si>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</si>
  <si>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</si>
  <si>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</si>
  <si>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</si>
  <si>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</si>
  <si>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</si>
  <si>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</si>
  <si>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</si>
  <si>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</si>
  <si>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</si>
  <si>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</si>
  <si>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</si>
  <si>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</si>
  <si>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</si>
  <si>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</si>
  <si>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</si>
  <si>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</si>
  <si>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</si>
  <si>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</si>
  <si>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</si>
  <si>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</si>
  <si>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</si>
  <si>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</si>
  <si>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</si>
  <si>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</si>
  <si>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</si>
  <si>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</si>
  <si>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</si>
  <si>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</si>
  <si>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</si>
  <si>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</si>
  <si>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</si>
  <si>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</si>
  <si>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</si>
  <si>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</si>
  <si>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</si>
  <si>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</si>
  <si>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</si>
  <si>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</si>
  <si>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</si>
  <si>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</si>
  <si>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</si>
  <si>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</si>
  <si>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</si>
  <si>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</si>
  <si>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</si>
  <si>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</si>
  <si>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</si>
  <si>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</si>
  <si>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</si>
  <si>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</si>
  <si>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</si>
  <si>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</si>
  <si>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</si>
  <si>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</si>
  <si>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</si>
  <si>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</si>
  <si>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</si>
  <si>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</si>
  <si>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</si>
  <si>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</si>
  <si>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</si>
  <si>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</si>
  <si>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</si>
  <si>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</si>
  <si>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</si>
  <si>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</si>
  <si>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</si>
  <si>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</si>
  <si>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</si>
  <si>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</si>
  <si>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</si>
  <si>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</si>
  <si>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</si>
  <si>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</si>
  <si>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</si>
  <si>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</si>
  <si>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</si>
  <si>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</si>
  <si>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</si>
  <si>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</si>
  <si>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</si>
  <si>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</si>
  <si>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</si>
  <si>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</si>
  <si>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</si>
  <si>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</si>
  <si>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</si>
  <si>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</si>
  <si>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</si>
  <si>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</si>
  <si>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</si>
  <si>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</si>
  <si>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</si>
  <si>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</si>
  <si>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</si>
  <si>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</si>
  <si>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</si>
  <si>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</si>
  <si>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</si>
  <si>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</si>
  <si>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</si>
  <si>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</si>
  <si>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</si>
  <si>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</si>
  <si>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</si>
  <si>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</si>
  <si>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</si>
  <si>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</si>
  <si>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</si>
  <si>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</si>
  <si>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</si>
  <si>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</si>
  <si>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</si>
  <si>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</si>
  <si>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</si>
  <si>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</si>
  <si>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</si>
  <si>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</si>
  <si>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</si>
  <si>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</si>
  <si>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</si>
  <si>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</si>
  <si>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</si>
  <si>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</si>
  <si>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</si>
  <si>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</si>
  <si>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</si>
  <si>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</si>
  <si>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</si>
  <si>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</si>
  <si>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</si>
  <si>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</si>
  <si>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</si>
  <si>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</si>
  <si>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</si>
  <si>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</si>
  <si>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</si>
  <si>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</si>
  <si>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</si>
  <si>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</si>
  <si>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</si>
  <si>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</si>
  <si>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</si>
  <si>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</si>
  <si>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</si>
  <si>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</si>
  <si>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</si>
  <si>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</si>
  <si>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</si>
  <si>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</si>
  <si>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</si>
  <si>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</si>
  <si>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</si>
  <si>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</si>
  <si>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</si>
  <si>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</si>
  <si>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</si>
  <si>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</si>
  <si>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</si>
  <si>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</si>
  <si>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</si>
  <si>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</si>
  <si>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</si>
  <si>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</si>
  <si>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</si>
  <si>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</si>
  <si>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</si>
  <si>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</si>
  <si>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</si>
  <si>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</si>
  <si>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</si>
  <si>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</si>
  <si>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</si>
  <si>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</si>
  <si>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</si>
  <si>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</si>
  <si>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</si>
  <si>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</si>
  <si>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</si>
  <si>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</si>
  <si>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</si>
  <si>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</si>
  <si>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</si>
  <si>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</si>
  <si>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</si>
  <si>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</si>
  <si>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</si>
  <si>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</si>
  <si>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</si>
  <si>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</si>
  <si>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</si>
  <si>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</si>
  <si>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</si>
  <si>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</si>
  <si>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</si>
  <si>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</si>
  <si>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</si>
  <si>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</si>
  <si>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</si>
  <si>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</si>
  <si>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</si>
  <si>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</si>
  <si>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</si>
  <si>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</si>
  <si>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</si>
  <si>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</si>
  <si>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</si>
  <si>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</si>
  <si>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</si>
  <si>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</si>
  <si>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</si>
  <si>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</si>
  <si>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</si>
  <si>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</si>
  <si>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</si>
  <si>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</si>
  <si>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</si>
  <si>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</si>
  <si>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</si>
  <si>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</si>
  <si>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</si>
  <si>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</si>
  <si>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</si>
  <si>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</si>
  <si>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</si>
  <si>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</si>
  <si>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</si>
  <si>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</si>
  <si>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</si>
  <si>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</si>
  <si>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</si>
  <si>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</si>
  <si>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</si>
  <si>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</si>
  <si>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</si>
  <si>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</si>
  <si>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</si>
  <si>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</si>
  <si>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</si>
  <si>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</si>
  <si>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</si>
  <si>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</si>
  <si>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</si>
  <si>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</si>
  <si>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</si>
  <si>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</si>
  <si>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</si>
  <si>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</si>
  <si>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</si>
  <si>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</si>
  <si>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</si>
  <si>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</si>
  <si>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</si>
  <si>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</si>
  <si>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</si>
  <si>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</si>
  <si>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</si>
  <si>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</si>
  <si>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</si>
  <si>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</si>
  <si>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</si>
  <si>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</si>
  <si>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</si>
  <si>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</si>
  <si>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</si>
  <si>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</si>
  <si>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</si>
  <si>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</si>
  <si>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</si>
  <si>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</si>
  <si>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</si>
  <si>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</si>
  <si>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</si>
  <si>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</si>
  <si>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</si>
  <si>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</si>
  <si>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</si>
  <si>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</si>
  <si>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</si>
  <si>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</si>
  <si>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</si>
  <si>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</si>
  <si>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</si>
  <si>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</si>
  <si>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</si>
  <si>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</si>
  <si>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</si>
  <si>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</si>
  <si>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</si>
  <si>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</si>
  <si>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</si>
  <si>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</si>
  <si>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</si>
  <si>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</si>
  <si>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</si>
  <si>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</si>
  <si>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</si>
  <si>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</si>
  <si>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</si>
  <si>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</si>
  <si>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</si>
  <si>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</si>
  <si>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</si>
  <si>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</si>
  <si>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</si>
  <si>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</si>
  <si>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</si>
  <si>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</si>
  <si>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</si>
  <si>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</si>
  <si>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</si>
  <si>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</si>
  <si>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</si>
  <si>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</si>
  <si>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</si>
  <si>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</si>
  <si>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</si>
  <si>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</si>
  <si>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</si>
  <si>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</si>
  <si>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</si>
  <si>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</si>
  <si>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</si>
  <si>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</si>
  <si>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</si>
  <si>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</si>
  <si>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</si>
  <si>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</si>
  <si>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</si>
  <si>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</si>
  <si>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</si>
  <si>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</si>
  <si>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</si>
  <si>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</si>
  <si>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</si>
  <si>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</si>
  <si>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</si>
  <si>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</si>
  <si>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</si>
  <si>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</si>
  <si>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</si>
  <si>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</si>
  <si>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</si>
  <si>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</si>
  <si>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</si>
  <si>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</si>
  <si>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</si>
  <si>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</si>
  <si>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</si>
  <si>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</si>
  <si>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</si>
  <si>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</si>
  <si>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</si>
  <si>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</si>
  <si>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</si>
  <si>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</si>
  <si>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</si>
  <si>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</si>
  <si>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</si>
  <si>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</si>
  <si>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</si>
  <si>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</si>
  <si>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</si>
  <si>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</si>
  <si>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</si>
  <si>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</si>
  <si>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</si>
  <si>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</si>
  <si>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</si>
  <si>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</si>
  <si>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</si>
  <si>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</si>
  <si>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</si>
  <si>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</si>
  <si>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</si>
  <si>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</si>
  <si>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</si>
  <si>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</si>
  <si>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</si>
  <si>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</si>
  <si>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</si>
  <si>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</si>
  <si>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</si>
  <si>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</si>
  <si>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</si>
  <si>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</si>
  <si>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</si>
  <si>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</si>
  <si>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</si>
  <si>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</si>
  <si>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</si>
  <si>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</si>
  <si>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</si>
  <si>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</si>
  <si>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</si>
  <si>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</si>
  <si>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</si>
  <si>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</si>
  <si>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</si>
  <si>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</si>
  <si>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</si>
  <si>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</si>
  <si>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</si>
  <si>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</si>
  <si>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</si>
  <si>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</si>
  <si>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</si>
  <si>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</si>
  <si>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</si>
  <si>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</si>
  <si>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</si>
  <si>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</si>
  <si>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</si>
  <si>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</si>
  <si>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</si>
  <si>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</si>
  <si>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</si>
  <si>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</si>
  <si>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</si>
  <si>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</si>
  <si>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</si>
  <si>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</si>
  <si>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</si>
  <si>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</si>
  <si>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</si>
  <si>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</si>
  <si>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</si>
  <si>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</si>
  <si>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</si>
  <si>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</si>
  <si>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</si>
  <si>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</si>
  <si>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</si>
  <si>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</si>
  <si>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</si>
  <si>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</si>
  <si>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</si>
  <si>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</si>
  <si>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</si>
  <si>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</si>
  <si>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</si>
  <si>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</si>
  <si>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</si>
  <si>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</si>
  <si>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</si>
  <si>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</si>
  <si>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</si>
  <si>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</si>
  <si>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</si>
  <si>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</si>
  <si>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</si>
  <si>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</si>
  <si>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</si>
  <si>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</si>
  <si>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</si>
  <si>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</si>
  <si>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</si>
  <si>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</si>
  <si>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</si>
  <si>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</si>
  <si>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</si>
  <si>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</si>
  <si>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</si>
  <si>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</si>
  <si>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</si>
  <si>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</si>
  <si>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</si>
  <si>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</si>
  <si>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</si>
  <si>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</si>
  <si>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</si>
  <si>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</si>
  <si>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</si>
  <si>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</si>
  <si>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</si>
  <si>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</si>
  <si>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</si>
  <si>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</si>
  <si>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</si>
  <si>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</si>
  <si>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</si>
  <si>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</si>
  <si>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</si>
  <si>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</si>
  <si>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</si>
  <si>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</si>
  <si>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</si>
  <si>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</si>
  <si>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</si>
  <si>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</si>
  <si>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</si>
  <si>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</si>
  <si>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</si>
  <si>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</si>
  <si>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</si>
  <si>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</si>
  <si>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</si>
  <si>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</si>
  <si>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</si>
  <si>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</si>
  <si>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</si>
  <si>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</si>
  <si>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</si>
  <si>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</si>
  <si>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</si>
  <si>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</si>
  <si>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</si>
  <si>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</si>
  <si>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</si>
  <si>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</si>
  <si>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</si>
  <si>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</si>
  <si>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</si>
  <si>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</si>
  <si>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</si>
  <si>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</si>
  <si>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</si>
  <si>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</si>
  <si>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</si>
  <si>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</si>
  <si>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</si>
  <si>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</si>
  <si>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</si>
  <si>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</si>
  <si>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</si>
  <si>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</si>
  <si>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</si>
  <si>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</si>
  <si>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</si>
  <si>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</si>
  <si>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</si>
  <si>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</si>
  <si>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</si>
  <si>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</si>
  <si>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</si>
  <si>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</si>
  <si>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</si>
  <si>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</si>
  <si>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</si>
  <si>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</si>
  <si>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</si>
  <si>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</si>
  <si>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</si>
  <si>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</si>
  <si>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</si>
  <si>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</si>
  <si>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</si>
  <si>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</si>
  <si>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</si>
  <si>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</si>
  <si>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</si>
  <si>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</si>
  <si>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</si>
  <si>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</si>
  <si>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</si>
  <si>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</si>
  <si>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</si>
  <si>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</si>
  <si>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</si>
  <si>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</si>
  <si>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</si>
  <si>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</si>
  <si>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</si>
  <si>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</si>
  <si>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</si>
  <si>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</si>
  <si>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</si>
  <si>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</si>
  <si>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</si>
  <si>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</si>
  <si>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</si>
  <si>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</si>
  <si>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</si>
  <si>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</si>
  <si>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</si>
  <si>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</si>
  <si>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</si>
  <si>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</si>
  <si>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</si>
  <si>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</si>
  <si>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</si>
  <si>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</si>
  <si>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</si>
  <si>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</si>
  <si>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</si>
  <si>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</si>
  <si>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</si>
  <si>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</si>
  <si>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</si>
  <si>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</si>
  <si>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</si>
  <si>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</si>
  <si>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</si>
  <si>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</si>
  <si>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</si>
  <si>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</si>
  <si>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</si>
  <si>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</si>
  <si>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</si>
  <si>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</si>
  <si>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</si>
  <si>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</si>
  <si>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</si>
  <si>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</si>
  <si>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</si>
  <si>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</si>
  <si>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</si>
  <si>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</si>
  <si>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</si>
  <si>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</si>
  <si>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</si>
  <si>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</si>
  <si>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</si>
  <si>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</si>
  <si>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</si>
  <si>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</si>
  <si>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</si>
  <si>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</si>
  <si>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</si>
  <si>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</si>
  <si>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</si>
  <si>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</si>
  <si>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</si>
  <si>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</si>
  <si>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</si>
  <si>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</si>
  <si>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</si>
  <si>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</si>
  <si>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</si>
  <si>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</si>
  <si>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</si>
  <si>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</si>
  <si>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</si>
  <si>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</si>
  <si>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</si>
  <si>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</si>
  <si>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</si>
  <si>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</si>
  <si>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</si>
  <si>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</si>
  <si>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</si>
  <si>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</si>
  <si>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</si>
  <si>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</si>
  <si>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</si>
  <si>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</si>
  <si>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</si>
  <si>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</si>
  <si>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</si>
  <si>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</si>
  <si>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</si>
  <si>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</si>
  <si>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</si>
  <si>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</si>
  <si>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</si>
  <si>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</si>
  <si>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</si>
  <si>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</si>
  <si>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</si>
  <si>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</si>
  <si>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</si>
  <si>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</si>
  <si>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</si>
  <si>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</si>
  <si>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</si>
  <si>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</si>
  <si>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</si>
  <si>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</si>
  <si>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</si>
  <si>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</si>
  <si>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</si>
  <si>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</si>
  <si>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</si>
  <si>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</si>
  <si>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</si>
  <si>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</si>
  <si>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</si>
  <si>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</si>
  <si>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</si>
  <si>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</si>
  <si>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</si>
  <si>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</si>
  <si>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</si>
  <si>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</si>
  <si>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</si>
  <si>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</si>
  <si>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</si>
  <si>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</si>
  <si>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</si>
  <si>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</si>
  <si>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</si>
  <si>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</si>
  <si>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</si>
  <si>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</si>
  <si>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</si>
  <si>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</si>
  <si>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</si>
  <si>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</si>
  <si>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</si>
  <si>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</si>
  <si>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</si>
  <si>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</si>
  <si>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</si>
  <si>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</si>
  <si>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</si>
  <si>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</si>
  <si>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</si>
  <si>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</si>
  <si>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</si>
  <si>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</si>
  <si>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</si>
  <si>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</si>
  <si>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</si>
  <si>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</si>
  <si>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</si>
  <si>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</si>
  <si>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</si>
  <si>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</si>
  <si>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</si>
  <si>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</si>
  <si>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</si>
  <si>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</si>
  <si>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</si>
  <si>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</si>
  <si>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</si>
  <si>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</si>
  <si>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</si>
  <si>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</si>
  <si>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</si>
  <si>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</si>
  <si>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</si>
  <si>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</si>
  <si>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</si>
  <si>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</si>
  <si>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</si>
  <si>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</si>
  <si>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</si>
  <si>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</si>
  <si>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</si>
  <si>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</si>
  <si>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</si>
  <si>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</si>
  <si>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</si>
  <si>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</si>
  <si>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</si>
  <si>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</si>
  <si>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</si>
  <si>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</si>
  <si>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</si>
  <si>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</si>
  <si>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</si>
  <si>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</si>
  <si>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</si>
  <si>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</si>
  <si>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</si>
  <si>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</si>
  <si>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</si>
  <si>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</si>
  <si>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</si>
  <si>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</si>
  <si>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</si>
  <si>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</si>
  <si>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</si>
  <si>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</si>
  <si>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</si>
  <si>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</si>
  <si>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</si>
  <si>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</si>
  <si>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</si>
  <si>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</si>
  <si>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</si>
  <si>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</si>
  <si>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</si>
  <si>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</si>
  <si>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</si>
  <si>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</si>
  <si>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</si>
  <si>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</si>
  <si>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</si>
  <si>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</si>
  <si>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</si>
  <si>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</si>
  <si>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</si>
  <si>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</si>
  <si>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</si>
  <si>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</si>
  <si>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</si>
  <si>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</si>
  <si>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</si>
  <si>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</si>
  <si>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</si>
  <si>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</si>
  <si>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</si>
  <si>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</si>
  <si>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</si>
  <si>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</si>
  <si>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</si>
  <si>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</si>
  <si>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</si>
  <si>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</si>
  <si>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</si>
  <si>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</si>
  <si>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</si>
  <si>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</si>
  <si>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</si>
  <si>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</si>
  <si>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</si>
  <si>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</si>
  <si>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</si>
  <si>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</si>
  <si>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</si>
  <si>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</si>
  <si>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</si>
  <si>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</si>
  <si>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</si>
  <si>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</si>
  <si>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</si>
  <si>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</si>
  <si>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</si>
  <si>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</si>
  <si>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</si>
  <si>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</si>
  <si>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</si>
  <si>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</si>
  <si>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</si>
  <si>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</si>
  <si>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</si>
  <si>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</si>
  <si>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</si>
  <si>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</si>
  <si>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</si>
  <si>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</si>
  <si>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</si>
  <si>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</si>
  <si>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</si>
  <si>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</si>
  <si>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</si>
  <si>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</si>
  <si>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</si>
  <si>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</si>
  <si>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</si>
  <si>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</si>
  <si>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</si>
  <si>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</si>
  <si>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</si>
  <si>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</si>
  <si>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</si>
  <si>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</si>
  <si>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</si>
  <si>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</si>
  <si>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</si>
  <si>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</si>
  <si>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</si>
  <si>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</si>
  <si>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</si>
  <si>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</si>
  <si>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</si>
  <si>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</si>
  <si>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</si>
  <si>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</si>
  <si>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</si>
  <si>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</si>
  <si>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</si>
  <si>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</si>
  <si>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</si>
  <si>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</si>
  <si>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</si>
  <si>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</si>
  <si>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</si>
  <si>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</si>
  <si>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</si>
  <si>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</si>
  <si>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</si>
  <si>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</si>
  <si>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</si>
  <si>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</si>
  <si>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</si>
  <si>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</si>
  <si>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</si>
  <si>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</si>
  <si>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</si>
  <si>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</si>
  <si>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</si>
  <si>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</si>
  <si>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</si>
  <si>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</si>
  <si>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</si>
  <si>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</si>
  <si>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</si>
  <si>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</si>
  <si>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</si>
  <si>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</si>
  <si>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</si>
  <si>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</si>
  <si>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</si>
  <si>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</si>
  <si>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</si>
  <si>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</si>
  <si>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</si>
  <si>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</si>
  <si>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</si>
  <si>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</si>
  <si>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</si>
  <si>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</si>
  <si>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</si>
  <si>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</si>
  <si>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</si>
  <si>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</si>
  <si>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</si>
  <si>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</si>
  <si>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</si>
  <si>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</si>
  <si>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</si>
  <si>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</si>
  <si>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</si>
  <si>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</si>
  <si>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</si>
  <si>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</si>
  <si>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</si>
  <si>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</si>
  <si>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</si>
  <si>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</si>
  <si>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</si>
  <si>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</si>
  <si>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</si>
  <si>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</si>
  <si>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</si>
  <si>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</si>
  <si>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</si>
  <si>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</si>
  <si>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</si>
  <si>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</si>
  <si>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</si>
  <si>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</si>
  <si>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</si>
  <si>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</si>
  <si>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</si>
  <si>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</si>
  <si>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</si>
  <si>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</si>
  <si>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</si>
  <si>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</si>
  <si>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</si>
  <si>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</si>
  <si>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</si>
  <si>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</si>
  <si>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</si>
  <si>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</si>
  <si>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</si>
  <si>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</si>
  <si>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</si>
  <si>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</si>
  <si>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</si>
  <si>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</si>
  <si>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</si>
  <si>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</si>
  <si>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</si>
  <si>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</si>
  <si>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</si>
  <si>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</si>
  <si>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</si>
  <si>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</si>
  <si>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</si>
  <si>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</si>
  <si>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</si>
  <si>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</si>
  <si>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</si>
  <si>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</si>
  <si>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</si>
  <si>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</si>
  <si>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</si>
  <si>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</si>
  <si>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</si>
  <si>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</si>
  <si>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</si>
  <si>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</si>
  <si>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</si>
  <si>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</si>
  <si>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</si>
  <si>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</si>
  <si>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</si>
  <si>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</si>
  <si>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</si>
  <si>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</si>
  <si>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</si>
  <si>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</si>
  <si>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</si>
  <si>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</si>
  <si>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</si>
  <si>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</si>
  <si>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</si>
  <si>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</si>
  <si>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</si>
  <si>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</si>
  <si>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</si>
  <si>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</si>
  <si>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</si>
  <si>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</si>
  <si>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</si>
  <si>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</si>
  <si>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</si>
  <si>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</si>
  <si>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</si>
  <si>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</si>
  <si>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</si>
  <si>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</si>
  <si>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</si>
  <si>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</si>
  <si>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</si>
  <si>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</si>
  <si>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</si>
  <si>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</si>
  <si>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</si>
  <si>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</si>
  <si>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</si>
  <si>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</si>
  <si>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</si>
  <si>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</si>
  <si>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</si>
  <si>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</si>
  <si>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</si>
  <si>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</si>
  <si>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</si>
  <si>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</si>
  <si>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</si>
  <si>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</si>
  <si>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</si>
  <si>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</si>
  <si>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</si>
  <si>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</si>
  <si>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</si>
  <si>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</si>
  <si>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</si>
  <si>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</si>
  <si>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</si>
  <si>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</si>
  <si>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</si>
  <si>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</si>
  <si>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</si>
  <si>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</si>
  <si>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</si>
  <si>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</si>
  <si>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</si>
  <si>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</si>
  <si>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</si>
  <si>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</si>
  <si>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</si>
  <si>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</si>
  <si>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</si>
  <si>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</si>
  <si>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</si>
  <si>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</si>
  <si>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</si>
  <si>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</si>
  <si>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</si>
  <si>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</si>
  <si>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</si>
  <si>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</si>
  <si>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</si>
  <si>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</si>
  <si>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</si>
  <si>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</si>
  <si>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</si>
  <si>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</si>
  <si>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</si>
  <si>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</si>
  <si>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</si>
  <si>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</si>
  <si>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</si>
  <si>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</si>
  <si>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</si>
  <si>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</si>
  <si>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</si>
  <si>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</si>
  <si>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</si>
  <si>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</si>
  <si>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</si>
  <si>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</si>
  <si>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</si>
  <si>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</si>
  <si>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</si>
  <si>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</si>
  <si>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</si>
  <si>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</si>
  <si>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</si>
  <si>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</si>
  <si>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</si>
  <si>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</si>
  <si>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</si>
  <si>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</si>
  <si>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</si>
  <si>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</si>
  <si>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</si>
  <si>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</si>
  <si>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</si>
  <si>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</si>
  <si>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</si>
  <si>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</si>
  <si>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</si>
  <si>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</si>
  <si>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</si>
  <si>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</si>
  <si>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</si>
  <si>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</si>
  <si>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</si>
  <si>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</si>
  <si>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</si>
  <si>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</si>
  <si>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</si>
  <si>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</si>
  <si>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</si>
  <si>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</si>
  <si>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</si>
  <si>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</si>
  <si>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</si>
  <si>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</si>
  <si>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</si>
  <si>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</si>
  <si>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</si>
  <si>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</si>
  <si>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</si>
  <si>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</si>
  <si>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</si>
  <si>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</si>
  <si>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</si>
  <si>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</si>
  <si>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</si>
  <si>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</si>
  <si>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</si>
  <si>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</si>
  <si>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</si>
  <si>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</si>
  <si>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</si>
  <si>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</si>
  <si>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</si>
  <si>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</si>
  <si>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</si>
  <si>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</si>
  <si>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</si>
  <si>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</si>
  <si>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</si>
  <si>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</si>
  <si>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</si>
  <si>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</si>
  <si>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</si>
  <si>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</si>
  <si>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</si>
  <si>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</si>
  <si>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</si>
  <si>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</si>
  <si>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</si>
  <si>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</si>
  <si>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</si>
  <si>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</si>
  <si>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</si>
  <si>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</si>
  <si>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</si>
  <si>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</si>
  <si>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</si>
  <si>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</si>
  <si>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</si>
  <si>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</si>
  <si>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</si>
  <si>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</si>
  <si>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</si>
  <si>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</si>
  <si>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</si>
  <si>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</si>
  <si>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</si>
  <si>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</si>
  <si>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</si>
  <si>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</si>
  <si>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</si>
  <si>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</si>
  <si>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</si>
  <si>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</si>
  <si>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</si>
  <si>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</si>
  <si>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</si>
  <si>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</si>
  <si>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</si>
  <si>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</si>
  <si>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</si>
  <si>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</si>
  <si>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</si>
  <si>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</si>
  <si>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</si>
  <si>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</si>
  <si>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</si>
  <si>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</si>
  <si>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</si>
  <si>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</si>
  <si>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</si>
  <si>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</si>
  <si>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</si>
  <si>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</si>
  <si>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</si>
  <si>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</si>
  <si>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</si>
  <si>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</si>
  <si>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</si>
  <si>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</si>
  <si>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</si>
  <si>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</si>
  <si>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</si>
  <si>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</si>
  <si>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</si>
  <si>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</si>
  <si>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</si>
  <si>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</si>
  <si>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</si>
  <si>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</si>
  <si>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</si>
  <si>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</si>
  <si>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</si>
  <si>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</si>
  <si>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</si>
  <si>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</si>
  <si>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</si>
  <si>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</si>
  <si>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</si>
  <si>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</si>
  <si>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</si>
  <si>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</si>
  <si>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</si>
  <si>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</si>
  <si>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</si>
  <si>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</si>
  <si>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</si>
  <si>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</si>
  <si>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</si>
  <si>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</si>
  <si>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</si>
  <si>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</si>
  <si>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</si>
  <si>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</si>
  <si>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</si>
  <si>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</si>
  <si>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</si>
  <si>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</si>
  <si>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</si>
  <si>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</si>
  <si>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</si>
  <si>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</si>
  <si>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</si>
  <si>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</si>
  <si>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</si>
  <si>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</si>
  <si>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</si>
  <si>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</si>
  <si>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</si>
  <si>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</si>
  <si>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</si>
  <si>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</si>
  <si>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</si>
  <si>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</si>
  <si>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</si>
  <si>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</si>
  <si>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</si>
  <si>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</si>
  <si>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</si>
  <si>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</si>
  <si>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</si>
  <si>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</si>
  <si>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</si>
  <si>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</si>
  <si>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</si>
  <si>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</si>
  <si>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</si>
  <si>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</si>
  <si>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</si>
  <si>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</si>
  <si>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</si>
  <si>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</si>
  <si>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</si>
  <si>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</si>
  <si>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</si>
  <si>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</si>
  <si>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</si>
  <si>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</si>
  <si>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</si>
  <si>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</si>
  <si>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</si>
  <si>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</si>
  <si>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</si>
  <si>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</si>
  <si>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</si>
  <si>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</si>
  <si>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</si>
  <si>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</si>
  <si>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</si>
  <si>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</si>
  <si>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</si>
  <si>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</si>
  <si>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</si>
  <si>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</si>
  <si>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</si>
  <si>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</si>
  <si>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</si>
  <si>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</si>
  <si>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</si>
  <si>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</si>
  <si>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</si>
  <si>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</si>
  <si>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</si>
  <si>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</si>
  <si>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</si>
  <si>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</si>
  <si>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</si>
  <si>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</si>
  <si>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</si>
  <si>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</si>
  <si>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</si>
  <si>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</si>
  <si>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</si>
  <si>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</si>
  <si>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</si>
  <si>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</si>
  <si>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</si>
  <si>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</si>
  <si>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</si>
  <si>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</si>
  <si>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</si>
  <si>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</si>
  <si>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</si>
  <si>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</si>
  <si>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</si>
  <si>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</si>
  <si>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</si>
  <si>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</si>
  <si>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</si>
  <si>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</si>
  <si>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</si>
  <si>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</si>
  <si>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</si>
  <si>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</si>
  <si>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</si>
  <si>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</si>
  <si>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</si>
  <si>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</si>
  <si>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</si>
  <si>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</si>
  <si>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</si>
  <si>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</si>
  <si>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</si>
  <si>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</si>
  <si>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</si>
  <si>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</si>
  <si>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</si>
  <si>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</si>
  <si>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</si>
  <si>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</si>
  <si>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</si>
  <si>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</si>
  <si>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</si>
  <si>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</si>
  <si>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</si>
  <si>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</si>
  <si>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</si>
  <si>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</si>
  <si>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</si>
  <si>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</si>
  <si>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</si>
  <si>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</si>
  <si>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</si>
  <si>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</si>
  <si>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</si>
  <si>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</si>
  <si>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</si>
  <si>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</si>
  <si>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</si>
  <si>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</si>
  <si>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</si>
  <si>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</si>
  <si>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</si>
  <si>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</si>
  <si>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</si>
  <si>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</si>
  <si>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</si>
  <si>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</si>
  <si>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</si>
  <si>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</si>
  <si>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</si>
  <si>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</si>
  <si>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</si>
  <si>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</si>
  <si>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</si>
  <si>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</si>
  <si>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</si>
  <si>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</si>
  <si>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</si>
  <si>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</si>
  <si>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</si>
  <si>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</si>
  <si>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</si>
  <si>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</si>
  <si>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</si>
  <si>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</si>
  <si>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</si>
  <si>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</si>
  <si>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</si>
  <si>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</si>
  <si>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</si>
  <si>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</si>
  <si>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</si>
  <si>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</si>
  <si>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</si>
  <si>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</si>
  <si>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</si>
  <si>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</si>
  <si>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</si>
  <si>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</si>
  <si>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</si>
  <si>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</si>
  <si>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</si>
  <si>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</si>
  <si>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</si>
  <si>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</si>
  <si>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</si>
  <si>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</si>
  <si>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</si>
  <si>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</si>
  <si>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</si>
  <si>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</si>
  <si>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</si>
  <si>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</si>
  <si>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</si>
  <si>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</si>
  <si>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</si>
  <si>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</si>
  <si>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</si>
  <si>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</si>
  <si>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</si>
  <si>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</si>
  <si>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</si>
  <si>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</si>
  <si>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</si>
  <si>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</si>
  <si>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</si>
  <si>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</si>
  <si>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</si>
  <si>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</si>
  <si>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</si>
  <si>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</si>
  <si>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</si>
  <si>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</si>
  <si>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</si>
  <si>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</si>
  <si>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</si>
  <si>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</si>
  <si>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</si>
  <si>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</si>
  <si>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</si>
  <si>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</si>
  <si>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</si>
  <si>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</si>
  <si>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</si>
  <si>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</si>
  <si>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</si>
  <si>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</si>
  <si>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</si>
  <si>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</si>
  <si>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</si>
  <si>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</si>
  <si>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</si>
  <si>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</si>
  <si>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</si>
  <si>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</si>
  <si>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</si>
  <si>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</si>
  <si>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</si>
  <si>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</si>
  <si>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</si>
  <si>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</si>
  <si>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</si>
  <si>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</si>
  <si>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</si>
  <si>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</si>
  <si>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</si>
  <si>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</si>
  <si>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</si>
  <si>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</si>
  <si>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</si>
  <si>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</si>
  <si>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</si>
  <si>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</si>
  <si>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</si>
  <si>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</si>
  <si>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</si>
  <si>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</si>
  <si>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</si>
  <si>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</si>
  <si>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</si>
  <si>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</si>
  <si>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</si>
  <si>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</si>
  <si>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</si>
  <si>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</si>
  <si>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</si>
  <si>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</si>
  <si>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</si>
  <si>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</si>
  <si>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</si>
  <si>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</si>
  <si>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</si>
  <si>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</si>
  <si>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</si>
  <si>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</si>
  <si>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</si>
  <si>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</si>
  <si>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</si>
  <si>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</si>
  <si>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</si>
  <si>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</si>
  <si>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</si>
  <si>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</si>
  <si>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</si>
  <si>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</si>
  <si>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</si>
  <si>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</si>
  <si>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</si>
  <si>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</si>
  <si>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</si>
  <si>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</si>
  <si>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</si>
  <si>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</si>
  <si>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</si>
  <si>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</si>
  <si>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</si>
  <si>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</si>
  <si>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</si>
  <si>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</si>
  <si>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</si>
  <si>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</si>
  <si>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</si>
  <si>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</si>
  <si>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</si>
  <si>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</si>
  <si>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</si>
  <si>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</si>
  <si>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</si>
  <si>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</si>
  <si>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</si>
  <si>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</si>
  <si>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</si>
  <si>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</si>
  <si>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</si>
  <si>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</si>
  <si>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</si>
  <si>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</si>
  <si>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</si>
  <si>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</si>
  <si>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</si>
  <si>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</si>
  <si>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</si>
  <si>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</si>
  <si>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</si>
  <si>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</si>
  <si>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</si>
  <si>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</si>
  <si>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</si>
  <si>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</si>
  <si>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</si>
  <si>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</si>
  <si>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</si>
  <si>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</si>
  <si>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</si>
  <si>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</si>
  <si>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</si>
  <si>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</si>
  <si>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</si>
  <si>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</si>
  <si>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</si>
  <si>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</si>
  <si>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</si>
  <si>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</si>
  <si>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</si>
  <si>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</si>
  <si>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</si>
  <si>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</si>
  <si>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</si>
  <si>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</si>
  <si>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</si>
  <si>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</si>
  <si>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</si>
  <si>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</si>
  <si>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</si>
  <si>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</si>
  <si>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</si>
  <si>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</si>
  <si>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</si>
  <si>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</si>
  <si>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</si>
  <si>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</si>
  <si>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</si>
  <si>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</si>
  <si>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</si>
  <si>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</si>
  <si>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</si>
  <si>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</si>
  <si>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</si>
  <si>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</si>
  <si>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</si>
  <si>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</si>
  <si>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</si>
  <si>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</si>
  <si>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</si>
  <si>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</si>
  <si>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</si>
  <si>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</si>
  <si>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</si>
  <si>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</si>
  <si>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</si>
  <si>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</si>
  <si>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</si>
  <si>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</si>
  <si>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</si>
  <si>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</si>
  <si>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</si>
  <si>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</si>
  <si>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</si>
  <si>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</si>
  <si>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</si>
  <si>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</si>
  <si>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</si>
  <si>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</si>
  <si>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</si>
  <si>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</si>
  <si>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</si>
  <si>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</si>
  <si>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</si>
  <si>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</si>
  <si>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</si>
  <si>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</si>
  <si>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</si>
  <si>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</si>
  <si>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</si>
  <si>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</si>
  <si>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</si>
  <si>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</si>
  <si>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</si>
  <si>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</si>
  <si>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</si>
  <si>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</si>
  <si>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</si>
  <si>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</si>
  <si>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</si>
  <si>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</si>
  <si>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</si>
  <si>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</si>
  <si>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</si>
  <si>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</si>
  <si>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</si>
  <si>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</si>
  <si>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</si>
  <si>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</si>
  <si>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</si>
  <si>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</si>
  <si>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</si>
  <si>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</si>
  <si>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</si>
  <si>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</si>
  <si>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</si>
  <si>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</si>
  <si>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</si>
  <si>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</si>
  <si>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</si>
  <si>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</si>
  <si>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</si>
  <si>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</si>
  <si>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</si>
  <si>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</si>
  <si>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</si>
  <si>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</si>
  <si>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</si>
  <si>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</si>
  <si>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</si>
  <si>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</si>
  <si>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</si>
  <si>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</si>
  <si>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</si>
  <si>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</si>
  <si>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</si>
  <si>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</si>
  <si>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</si>
  <si>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</si>
  <si>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</si>
  <si>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</si>
  <si>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</si>
  <si>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</si>
  <si>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</si>
  <si>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</si>
  <si>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</si>
  <si>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</si>
  <si>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</si>
  <si>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</si>
  <si>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</si>
  <si>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</si>
  <si>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</si>
  <si>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</si>
  <si>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</si>
  <si>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</si>
  <si>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</si>
  <si>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</si>
  <si>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</si>
  <si>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</si>
  <si>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</si>
  <si>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</si>
  <si>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</si>
  <si>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</si>
  <si>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</si>
  <si>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</si>
  <si>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</si>
  <si>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</si>
  <si>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</si>
  <si>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</si>
  <si>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</si>
  <si>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</si>
  <si>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</si>
  <si>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</si>
  <si>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</si>
  <si>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</si>
  <si>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</si>
  <si>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</si>
  <si>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</si>
  <si>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</si>
  <si>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</si>
  <si>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</si>
  <si>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</si>
  <si>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</si>
  <si>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</si>
  <si>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</si>
  <si>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</si>
  <si>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</si>
  <si>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</si>
  <si>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</si>
  <si>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</si>
  <si>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</si>
  <si>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</si>
  <si>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</si>
  <si>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</si>
  <si>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</si>
  <si>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</si>
  <si>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</si>
  <si>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</si>
  <si>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</si>
  <si>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</si>
  <si>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</si>
  <si>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</si>
  <si>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</si>
  <si>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</si>
  <si>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</si>
  <si>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</si>
  <si>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</si>
  <si>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</si>
  <si>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</si>
  <si>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</si>
  <si>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</si>
  <si>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</si>
  <si>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</si>
  <si>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</si>
  <si>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</si>
  <si>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</si>
  <si>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</si>
  <si>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</si>
  <si>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</si>
  <si>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</si>
  <si>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</si>
  <si>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</si>
  <si>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</si>
  <si>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</si>
  <si>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</si>
  <si>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</si>
  <si>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</si>
  <si>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</si>
  <si>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</si>
  <si>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</si>
  <si>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</si>
  <si>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</si>
  <si>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</si>
  <si>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</si>
  <si>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</si>
  <si>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</si>
  <si>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</si>
  <si>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</si>
  <si>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</si>
  <si>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</si>
  <si>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</si>
  <si>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</si>
  <si>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</si>
  <si>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</si>
  <si>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</si>
  <si>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</si>
  <si>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</si>
  <si>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</si>
  <si>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</si>
  <si>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</si>
  <si>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</si>
  <si>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</si>
  <si>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</si>
  <si>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</si>
  <si>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</si>
  <si>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</si>
  <si>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</si>
  <si>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</si>
  <si>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</si>
  <si>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</si>
  <si>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</si>
  <si>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</si>
  <si>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</si>
  <si>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</si>
  <si>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</si>
  <si>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</si>
  <si>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</si>
  <si>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</si>
  <si>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</si>
  <si>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</si>
  <si>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</si>
  <si>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</si>
  <si>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</si>
  <si>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</si>
  <si>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</si>
  <si>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</si>
  <si>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</si>
  <si>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</si>
  <si>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</si>
  <si>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</si>
  <si>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</si>
  <si>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</si>
  <si>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</si>
  <si>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</si>
  <si>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</si>
  <si>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</si>
  <si>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</si>
  <si>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</si>
  <si>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</si>
  <si>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</si>
  <si>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</si>
  <si>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</si>
  <si>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</si>
  <si>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</si>
  <si>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</si>
  <si>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</si>
  <si>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</si>
  <si>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</si>
  <si>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</si>
  <si>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</si>
  <si>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</si>
  <si>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</si>
  <si>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</si>
  <si>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</si>
  <si>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</si>
  <si>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</si>
  <si>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</si>
  <si>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</si>
  <si>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</si>
  <si>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</si>
  <si>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</si>
  <si>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</si>
  <si>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</si>
  <si>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</si>
  <si>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</si>
  <si>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</si>
  <si>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</si>
  <si>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</si>
  <si>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</si>
  <si>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</si>
  <si>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</si>
  <si>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</si>
  <si>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</si>
  <si>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</si>
  <si>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</si>
  <si>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</si>
  <si>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</si>
  <si>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</si>
  <si>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</si>
  <si>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</si>
  <si>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</si>
  <si>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</si>
  <si>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</si>
  <si>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</si>
  <si>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</si>
  <si>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</si>
  <si>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</si>
  <si>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</si>
  <si>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</si>
  <si>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</si>
  <si>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</si>
  <si>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</si>
  <si>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</si>
  <si>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</si>
  <si>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</si>
  <si>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</si>
  <si>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</si>
  <si>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</si>
  <si>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</si>
  <si>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</si>
  <si>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</si>
  <si>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</si>
  <si>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</si>
  <si>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</si>
  <si>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</si>
  <si>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</si>
  <si>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</si>
  <si>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</si>
  <si>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</si>
  <si>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</si>
  <si>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</si>
  <si>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</si>
  <si>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</si>
  <si>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</si>
  <si>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</si>
  <si>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</si>
  <si>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</si>
  <si>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</si>
  <si>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</si>
  <si>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</si>
  <si>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</si>
  <si>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</si>
  <si>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</si>
  <si>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</si>
  <si>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</si>
  <si>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</si>
  <si>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</si>
  <si>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</si>
  <si>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</si>
  <si>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</si>
  <si>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</si>
  <si>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</si>
  <si>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</si>
  <si>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</si>
  <si>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</si>
  <si>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</si>
  <si>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</si>
  <si>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</si>
  <si>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</si>
  <si>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</si>
  <si>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</si>
  <si>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</si>
  <si>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</si>
  <si>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</si>
  <si>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</si>
  <si>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</si>
  <si>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</si>
  <si>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</si>
  <si>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</si>
  <si>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</si>
  <si>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</si>
  <si>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</si>
  <si>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</si>
  <si>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</si>
  <si>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</si>
  <si>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</si>
  <si>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</si>
  <si>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</si>
  <si>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</si>
  <si>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</si>
  <si>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</si>
  <si>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</si>
  <si>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</si>
  <si>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</si>
  <si>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</si>
  <si>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</si>
  <si>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</si>
  <si>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</si>
  <si>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</si>
  <si>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</si>
  <si>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</si>
  <si>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</si>
  <si>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</si>
  <si>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</si>
  <si>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</si>
  <si>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</si>
  <si>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</si>
  <si>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</si>
  <si>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</si>
  <si>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</si>
  <si>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</si>
  <si>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</si>
  <si>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</si>
  <si>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</si>
  <si>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</si>
  <si>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</si>
  <si>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</si>
  <si>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</si>
  <si>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</si>
  <si>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</si>
  <si>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</si>
  <si>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</si>
  <si>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</si>
  <si>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</si>
  <si>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</si>
  <si>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</si>
  <si>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</si>
  <si>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</si>
  <si>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</si>
  <si>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</si>
  <si>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</si>
  <si>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</si>
  <si>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</si>
  <si>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</si>
  <si>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</si>
  <si>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</si>
  <si>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</si>
  <si>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</si>
  <si>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</si>
  <si>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</si>
  <si>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</si>
  <si>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</si>
  <si>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</si>
  <si>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</si>
  <si>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</si>
  <si>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</si>
  <si>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</si>
  <si>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</si>
  <si>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</si>
  <si>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</si>
  <si>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</si>
  <si>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</si>
  <si>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</si>
  <si>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</si>
  <si>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</si>
  <si>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</si>
  <si>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</si>
  <si>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</si>
  <si>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</si>
  <si>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</si>
  <si>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</si>
  <si>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</si>
  <si>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</si>
  <si>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</si>
  <si>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</si>
  <si>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</si>
  <si>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</si>
  <si>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</si>
  <si>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</si>
  <si>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</si>
  <si>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</si>
  <si>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</si>
  <si>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</si>
  <si>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</si>
  <si>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</si>
  <si>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</si>
  <si>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</si>
  <si>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</si>
  <si>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</si>
  <si>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</si>
  <si>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</si>
  <si>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</si>
  <si>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</si>
  <si>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</si>
  <si>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</si>
  <si>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</si>
  <si>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</si>
  <si>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</si>
  <si>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</si>
  <si>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</si>
  <si>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</si>
  <si>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</si>
  <si>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</si>
  <si>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</si>
  <si>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</si>
  <si>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</si>
  <si>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</si>
  <si>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</si>
  <si>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</si>
  <si>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</si>
  <si>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</si>
  <si>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</si>
  <si>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</si>
  <si>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</si>
  <si>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</si>
  <si>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</si>
  <si>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</si>
  <si>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</si>
  <si>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</si>
  <si>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</si>
  <si>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</si>
  <si>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</si>
  <si>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</si>
  <si>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</si>
  <si>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</si>
  <si>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</si>
  <si>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</si>
  <si>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</si>
  <si>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</si>
  <si>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</si>
  <si>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</si>
  <si>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</si>
  <si>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</si>
  <si>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</si>
  <si>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</si>
  <si>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</si>
  <si>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</si>
  <si>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</si>
  <si>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</si>
  <si>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</si>
  <si>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</si>
  <si>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</si>
  <si>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</si>
  <si>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</si>
  <si>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</si>
  <si>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</si>
  <si>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</si>
  <si>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</si>
  <si>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</si>
  <si>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</si>
  <si>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</si>
  <si>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</si>
  <si>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</si>
  <si>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</si>
  <si>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</si>
  <si>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</si>
  <si>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</si>
  <si>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</si>
  <si>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</si>
  <si>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</si>
  <si>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</si>
  <si>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</si>
  <si>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</si>
  <si>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</si>
  <si>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</si>
  <si>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</si>
  <si>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</si>
  <si>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</si>
  <si>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</si>
  <si>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</si>
  <si>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</si>
  <si>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</si>
  <si>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</si>
  <si>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</si>
  <si>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</si>
  <si>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</si>
  <si>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</si>
  <si>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</si>
  <si>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</si>
  <si>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</si>
  <si>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</si>
  <si>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</si>
  <si>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</si>
  <si>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</si>
  <si>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</si>
  <si>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</si>
  <si>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</si>
  <si>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</si>
  <si>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</si>
  <si>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</si>
  <si>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</si>
  <si>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</si>
  <si>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</si>
  <si>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</si>
  <si>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</si>
  <si>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</si>
  <si>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</si>
  <si>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</si>
  <si>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</si>
  <si>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</si>
  <si>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</si>
  <si>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</si>
  <si>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</si>
  <si>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</si>
  <si>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</si>
  <si>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</si>
  <si>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</si>
  <si>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</si>
  <si>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</si>
  <si>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</si>
  <si>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</si>
  <si>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</si>
  <si>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</si>
  <si>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</si>
  <si>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</si>
  <si>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</si>
  <si>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</si>
  <si>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</si>
  <si>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</si>
  <si>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</si>
  <si>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</si>
  <si>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</si>
  <si>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</si>
  <si>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</si>
  <si>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</si>
  <si>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</si>
  <si>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</si>
  <si>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</si>
  <si>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</si>
  <si>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</si>
  <si>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</si>
  <si>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</si>
  <si>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</si>
  <si>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</si>
  <si>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</si>
  <si>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</si>
  <si>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</si>
  <si>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</si>
  <si>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</si>
  <si>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</si>
  <si>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</si>
  <si>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</si>
  <si>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</si>
  <si>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</si>
  <si>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</si>
  <si>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</si>
  <si>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</si>
  <si>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</si>
  <si>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</si>
  <si>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</si>
  <si>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</si>
  <si>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</si>
  <si>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</si>
  <si>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</si>
  <si>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</si>
  <si>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</si>
  <si>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</si>
  <si>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</si>
  <si>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</si>
  <si>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</si>
  <si>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</si>
  <si>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</si>
  <si>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</si>
  <si>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</si>
  <si>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</si>
  <si>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</si>
  <si>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</si>
  <si>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</si>
  <si>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</si>
  <si>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</si>
  <si>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</si>
  <si>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</si>
  <si>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</si>
  <si>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</si>
  <si>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</si>
  <si>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</si>
  <si>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</si>
  <si>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</si>
  <si>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</si>
  <si>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</si>
  <si>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</si>
  <si>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</si>
  <si>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</si>
  <si>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</si>
  <si>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</si>
  <si>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</si>
  <si>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</si>
  <si>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</si>
  <si>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</si>
  <si>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</si>
  <si>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</si>
  <si>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</si>
  <si>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</si>
  <si>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</si>
  <si>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</si>
  <si>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</si>
  <si>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</si>
  <si>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</si>
  <si>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</si>
  <si>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</si>
  <si>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</si>
  <si>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</si>
  <si>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</si>
  <si>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</si>
  <si>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</si>
  <si>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</si>
  <si>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</si>
  <si>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</si>
  <si>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</si>
  <si>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</si>
  <si>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</si>
  <si>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</si>
  <si>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</si>
  <si>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</si>
  <si>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</si>
  <si>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</si>
  <si>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</si>
  <si>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</si>
  <si>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</si>
  <si>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</si>
  <si>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</si>
  <si>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</si>
  <si>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</si>
  <si>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</si>
  <si>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</si>
  <si>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</si>
  <si>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</si>
  <si>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</si>
  <si>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</si>
  <si>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</si>
  <si>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</si>
  <si>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</si>
  <si>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</si>
  <si>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</si>
  <si>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</si>
  <si>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</si>
  <si>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</si>
  <si>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</si>
  <si>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</si>
  <si>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</si>
  <si>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</si>
  <si>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</si>
  <si>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</si>
  <si>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</si>
  <si>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</si>
  <si>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</si>
  <si>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</si>
  <si>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</si>
  <si>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</si>
  <si>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</si>
  <si>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</si>
  <si>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</si>
  <si>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</si>
  <si>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</si>
  <si>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</si>
  <si>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</si>
  <si>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</si>
  <si>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</si>
  <si>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</si>
  <si>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</si>
  <si>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</si>
  <si>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</si>
  <si>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</si>
  <si>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</si>
  <si>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</si>
  <si>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</si>
  <si>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</si>
  <si>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</si>
  <si>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</si>
  <si>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</si>
  <si>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</si>
  <si>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</si>
  <si>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</si>
  <si>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</si>
  <si>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</si>
  <si>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</si>
  <si>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</si>
  <si>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</si>
  <si>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</si>
  <si>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</si>
  <si>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</si>
  <si>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</si>
  <si>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</si>
  <si>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</si>
  <si>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</si>
  <si>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</si>
  <si>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</si>
  <si>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</si>
  <si>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</si>
  <si>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</si>
  <si>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</si>
  <si>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</si>
  <si>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</si>
  <si>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</si>
  <si>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</si>
  <si>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</si>
  <si>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</si>
  <si>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</si>
  <si>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</si>
  <si>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</si>
  <si>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</si>
  <si>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</si>
  <si>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</si>
  <si>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</si>
  <si>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</si>
  <si>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</si>
  <si>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</si>
  <si>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</si>
  <si>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</si>
  <si>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</si>
  <si>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</si>
  <si>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</si>
  <si>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</si>
  <si>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</si>
  <si>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</si>
  <si>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</si>
  <si>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</si>
  <si>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</si>
  <si>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</si>
  <si>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</si>
  <si>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</si>
  <si>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</si>
  <si>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</si>
  <si>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</si>
  <si>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</si>
  <si>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</si>
  <si>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</si>
  <si>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</si>
  <si>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</si>
  <si>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</si>
  <si>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</si>
  <si>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</si>
  <si>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</si>
  <si>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</si>
  <si>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</si>
  <si>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</si>
  <si>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</si>
  <si>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</si>
  <si>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</si>
  <si>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</si>
  <si>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</si>
  <si>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</si>
  <si>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</si>
  <si>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</si>
  <si>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</si>
  <si>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</si>
  <si>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</si>
  <si>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</si>
  <si>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</si>
  <si>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</si>
  <si>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</si>
  <si>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</si>
  <si>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</si>
  <si>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</si>
  <si>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</si>
  <si>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</si>
  <si>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</si>
  <si>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</si>
  <si>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</si>
  <si>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</si>
  <si>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</si>
  <si>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</si>
  <si>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</si>
  <si>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</si>
  <si>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</si>
  <si>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</si>
  <si>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</si>
  <si>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</si>
  <si>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</si>
  <si>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</si>
  <si>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</si>
  <si>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</si>
  <si>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</si>
  <si>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</si>
  <si>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</si>
  <si>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</si>
  <si>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</si>
  <si>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</si>
  <si>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</si>
  <si>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</si>
  <si>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</si>
  <si>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</si>
  <si>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</si>
  <si>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</si>
  <si>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</si>
  <si>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</si>
  <si>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</si>
  <si>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</si>
  <si>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</si>
  <si>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</si>
  <si>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</si>
  <si>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</si>
  <si>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</si>
  <si>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</si>
  <si>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</si>
  <si>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</si>
  <si>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</si>
  <si>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</si>
  <si>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</si>
  <si>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</si>
  <si>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</si>
  <si>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</si>
  <si>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</si>
  <si>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</si>
  <si>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</si>
  <si>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</si>
  <si>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</si>
  <si>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</si>
  <si>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</si>
  <si>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</si>
  <si>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</si>
  <si>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</si>
  <si>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</si>
  <si>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</si>
  <si>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</si>
  <si>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</si>
  <si>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</si>
  <si>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</si>
  <si>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</si>
  <si>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</si>
  <si>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</si>
  <si>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</si>
  <si>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</si>
  <si>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</si>
  <si>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</si>
  <si>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</si>
  <si>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</si>
  <si>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</si>
  <si>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</si>
  <si>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</si>
  <si>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</si>
  <si>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</si>
  <si>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</si>
  <si>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</si>
  <si>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</si>
  <si>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</si>
  <si>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</si>
  <si>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</si>
  <si>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</si>
  <si>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</si>
  <si>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</si>
  <si>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</si>
  <si>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</si>
  <si>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</si>
  <si>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</si>
  <si>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</si>
  <si>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</si>
  <si>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</si>
  <si>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</si>
  <si>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</si>
  <si>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</si>
  <si>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</si>
  <si>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</si>
  <si>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</si>
  <si>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</si>
  <si>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</si>
  <si>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</si>
  <si>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</si>
  <si>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</si>
  <si>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</si>
  <si>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</si>
  <si>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</si>
  <si>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</si>
  <si>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</si>
  <si>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</si>
  <si>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</si>
  <si>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</si>
  <si>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</si>
  <si>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</si>
  <si>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</si>
  <si>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</si>
  <si>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</si>
  <si>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</si>
  <si>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</si>
  <si>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</si>
  <si>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</si>
  <si>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</si>
  <si>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</si>
  <si>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</si>
  <si>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</si>
  <si>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</si>
  <si>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</si>
  <si>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</si>
  <si>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</si>
  <si>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</si>
  <si>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</si>
  <si>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</si>
  <si>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</si>
  <si>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</si>
  <si>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</si>
  <si>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</si>
  <si>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</si>
  <si>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</si>
  <si>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</si>
  <si>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</si>
  <si>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</si>
  <si>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</si>
  <si>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</si>
  <si>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</si>
  <si>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</si>
  <si>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</si>
  <si>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</si>
  <si>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</si>
  <si>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</si>
  <si>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</si>
  <si>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</si>
  <si>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</si>
  <si>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</si>
  <si>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</si>
  <si>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</si>
  <si>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</si>
  <si>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</si>
  <si>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</si>
  <si>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</si>
  <si>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</si>
  <si>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</si>
  <si>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</si>
  <si>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</si>
  <si>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</si>
  <si>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</si>
  <si>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</si>
  <si>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</si>
  <si>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</si>
  <si>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</si>
  <si>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</si>
  <si>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</si>
  <si>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</si>
  <si>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</si>
  <si>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</si>
  <si>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</si>
  <si>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</si>
  <si>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</si>
  <si>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</si>
  <si>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</si>
  <si>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</si>
  <si>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</si>
  <si>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</si>
  <si>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</si>
  <si>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</si>
  <si>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</si>
  <si>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</si>
  <si>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</si>
  <si>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</si>
  <si>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</si>
  <si>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</si>
  <si>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</si>
  <si>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</si>
  <si>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</si>
  <si>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</si>
  <si>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</si>
  <si>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</si>
  <si>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</si>
  <si>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</si>
  <si>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</si>
  <si>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</si>
  <si>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</si>
  <si>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</si>
  <si>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</si>
  <si>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</si>
  <si>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</si>
  <si>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</si>
  <si>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</si>
  <si>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</si>
  <si>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</si>
  <si>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</si>
  <si>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</si>
  <si>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</si>
  <si>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</si>
  <si>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</si>
  <si>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</si>
  <si>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</si>
  <si>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</si>
  <si>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</si>
  <si>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</si>
  <si>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</si>
  <si>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</si>
  <si>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</si>
  <si>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</si>
  <si>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</si>
  <si>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</si>
  <si>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</si>
  <si>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</si>
  <si>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</si>
  <si>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</si>
  <si>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</si>
  <si>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</si>
  <si>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</si>
  <si>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</si>
  <si>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</si>
  <si>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</si>
  <si>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</si>
  <si>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</si>
  <si>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</si>
  <si>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</si>
  <si>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</si>
  <si>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</si>
  <si>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</si>
  <si>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</si>
  <si>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</si>
  <si>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</si>
  <si>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</si>
  <si>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</si>
  <si>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</si>
  <si>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</si>
  <si>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</si>
  <si>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</si>
  <si>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</si>
  <si>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</si>
  <si>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</si>
  <si>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</si>
  <si>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</si>
  <si>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</si>
  <si>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</si>
  <si>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</si>
  <si>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</si>
  <si>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</si>
  <si>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</si>
  <si>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</si>
  <si>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</si>
  <si>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</si>
  <si>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</si>
  <si>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</si>
  <si>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</si>
  <si>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</si>
  <si>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</si>
  <si>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</si>
  <si>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</si>
  <si>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</si>
  <si>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</si>
  <si>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</si>
  <si>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</si>
  <si>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</si>
  <si>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</si>
  <si>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</si>
  <si>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</si>
  <si>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</si>
  <si>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</si>
  <si>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</si>
  <si>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</si>
  <si>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</si>
  <si>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</si>
  <si>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</si>
  <si>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</si>
  <si>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</si>
  <si>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</si>
  <si>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</si>
  <si>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</si>
  <si>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</si>
  <si>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</si>
  <si>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</si>
  <si>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</si>
  <si>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</si>
  <si>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</si>
  <si>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</si>
  <si>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</si>
  <si>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</si>
  <si>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</si>
  <si>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</si>
  <si>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</si>
  <si>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</si>
  <si>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</si>
  <si>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</si>
  <si>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</si>
  <si>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</si>
  <si>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</si>
  <si>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</si>
  <si>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</si>
  <si>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</si>
  <si>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</si>
  <si>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</si>
  <si>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</si>
  <si>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</si>
  <si>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</si>
  <si>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</si>
  <si>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</si>
  <si>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</si>
  <si>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</si>
  <si>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</si>
  <si>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</si>
  <si>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</si>
  <si>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</si>
  <si>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</si>
  <si>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</si>
  <si>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</si>
  <si>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</si>
  <si>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</si>
  <si>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</si>
  <si>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</si>
  <si>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</si>
  <si>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</si>
  <si>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</si>
  <si>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</si>
  <si>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</si>
  <si>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</si>
  <si>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</si>
  <si>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</si>
  <si>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</si>
  <si>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</si>
  <si>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</si>
  <si>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</si>
  <si>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</si>
  <si>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</si>
  <si>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</si>
  <si>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</si>
  <si>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</si>
  <si>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</si>
  <si>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</si>
  <si>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</si>
  <si>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</si>
  <si>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</si>
  <si>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</si>
  <si>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</si>
  <si>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</si>
  <si>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</si>
  <si>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</si>
  <si>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</si>
  <si>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</si>
  <si>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</si>
  <si>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</si>
  <si>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</si>
  <si>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</si>
  <si>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</si>
  <si>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</si>
  <si>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</si>
  <si>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</si>
  <si>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</si>
  <si>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</si>
  <si>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</si>
  <si>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</si>
  <si>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</si>
  <si>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</si>
  <si>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</si>
  <si>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</si>
  <si>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</si>
  <si>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</si>
  <si>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</si>
  <si>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</si>
  <si>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</si>
  <si>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</si>
  <si>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</si>
  <si>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</si>
  <si>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</si>
  <si>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</si>
  <si>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</si>
  <si>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</si>
  <si>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</si>
  <si>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</si>
  <si>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</si>
  <si>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</si>
  <si>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</si>
  <si>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</si>
  <si>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</si>
  <si>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</si>
  <si>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</si>
  <si>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</si>
  <si>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</si>
  <si>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</si>
  <si>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</si>
  <si>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</si>
  <si>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</si>
  <si>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</si>
  <si>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</si>
  <si>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</si>
  <si>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</si>
  <si>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</si>
  <si>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</si>
  <si>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</si>
  <si>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</si>
  <si>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</si>
  <si>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</si>
  <si>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</si>
  <si>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</si>
  <si>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</si>
  <si>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</si>
  <si>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</si>
  <si>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</si>
  <si>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</si>
  <si>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</si>
  <si>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</si>
  <si>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</si>
  <si>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</si>
  <si>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</si>
  <si>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</si>
  <si>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</si>
  <si>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</si>
  <si>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</si>
  <si>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</si>
  <si>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</si>
  <si>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</si>
  <si>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</si>
  <si>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</si>
  <si>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</si>
  <si>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</si>
  <si>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</si>
  <si>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</si>
  <si>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</si>
  <si>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</si>
  <si>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</si>
  <si>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</si>
  <si>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</si>
  <si>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</si>
  <si>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</si>
  <si>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</si>
  <si>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</si>
  <si>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</si>
  <si>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</si>
  <si>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</si>
  <si>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</si>
  <si>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</si>
  <si>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</si>
  <si>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</si>
  <si>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</si>
  <si>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</si>
  <si>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</si>
  <si>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</si>
  <si>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</si>
  <si>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</si>
  <si>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</si>
  <si>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</si>
  <si>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</si>
  <si>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</si>
  <si>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</si>
  <si>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</si>
  <si>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</si>
  <si>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</si>
  <si>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</si>
  <si>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</si>
  <si>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</si>
  <si>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</si>
  <si>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</si>
  <si>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</si>
  <si>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</si>
  <si>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</si>
  <si>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</si>
  <si>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</si>
  <si>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</si>
  <si>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</si>
  <si>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</si>
  <si>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</si>
  <si>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</si>
  <si>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</si>
  <si>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</si>
  <si>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</si>
  <si>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</si>
  <si>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</si>
  <si>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</si>
  <si>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</si>
  <si>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</si>
  <si>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</si>
  <si>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</si>
  <si>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</si>
  <si>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</si>
  <si>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</si>
  <si>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</si>
  <si>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</si>
  <si>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</si>
  <si>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</si>
  <si>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</si>
  <si>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</si>
  <si>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</si>
  <si>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</si>
  <si>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</si>
  <si>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</si>
  <si>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</si>
  <si>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</si>
  <si>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</si>
  <si>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</si>
  <si>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</si>
  <si>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</si>
  <si>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</si>
  <si>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</si>
  <si>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</si>
  <si>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</si>
  <si>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</si>
  <si>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</si>
  <si>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</si>
  <si>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</si>
  <si>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</si>
  <si>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</si>
  <si>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</si>
  <si>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</si>
  <si>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</si>
  <si>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</si>
  <si>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</si>
  <si>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</si>
  <si>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</si>
  <si>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</si>
  <si>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</si>
  <si>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</si>
  <si>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</si>
  <si>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</si>
  <si>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</si>
  <si>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</si>
  <si>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</si>
  <si>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</si>
  <si>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</si>
  <si>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</si>
  <si>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</si>
  <si>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</si>
  <si>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</si>
  <si>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</si>
  <si>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</si>
  <si>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</si>
  <si>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</si>
  <si>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</si>
  <si>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</si>
  <si>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</si>
  <si>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</si>
  <si>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</si>
  <si>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</si>
  <si>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</si>
  <si>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</si>
  <si>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</si>
  <si>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</si>
  <si>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</si>
  <si>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</si>
  <si>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</si>
  <si>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</si>
  <si>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</si>
  <si>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</si>
  <si>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</si>
  <si>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</si>
  <si>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</si>
  <si>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</si>
  <si>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</si>
  <si>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</si>
  <si>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</si>
  <si>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</si>
  <si>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</si>
  <si>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</si>
  <si>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</si>
  <si>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</si>
  <si>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</si>
  <si>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</si>
  <si>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</si>
  <si>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</si>
  <si>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</si>
  <si>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</si>
  <si>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</si>
  <si>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</si>
  <si>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</si>
  <si>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</si>
  <si>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</si>
  <si>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</si>
  <si>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</si>
  <si>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</si>
  <si>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</si>
  <si>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</si>
  <si>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</si>
  <si>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</si>
  <si>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</si>
  <si>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</si>
  <si>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</si>
  <si>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</si>
  <si>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</si>
  <si>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</si>
  <si>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</si>
  <si>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</si>
  <si>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</si>
  <si>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</si>
  <si>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</si>
  <si>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</si>
  <si>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</si>
  <si>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</si>
  <si>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</si>
  <si>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</si>
  <si>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</si>
  <si>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</si>
  <si>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</si>
  <si>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</si>
  <si>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</si>
  <si>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</si>
  <si>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</si>
  <si>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</si>
  <si>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</si>
  <si>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</si>
  <si>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</si>
  <si>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</si>
  <si>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</si>
  <si>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</si>
  <si>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</si>
  <si>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</si>
  <si>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</si>
  <si>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</si>
  <si>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</si>
  <si>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</si>
  <si>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</si>
  <si>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</si>
  <si>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</si>
  <si>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</si>
  <si>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</si>
  <si>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</si>
  <si>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</si>
  <si>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</si>
  <si>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</si>
  <si>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</si>
  <si>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</si>
  <si>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</si>
  <si>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</si>
  <si>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</si>
  <si>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</si>
  <si>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</si>
  <si>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</si>
  <si>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</si>
  <si>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</si>
  <si>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</si>
  <si>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</si>
  <si>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</si>
  <si>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</si>
  <si>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</si>
  <si>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</si>
  <si>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</si>
  <si>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</si>
  <si>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</si>
  <si>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</si>
  <si>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</si>
  <si>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</si>
  <si>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</si>
  <si>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</si>
  <si>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</si>
  <si>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</si>
  <si>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</si>
  <si>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</si>
  <si>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</si>
  <si>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</si>
  <si>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</si>
  <si>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</si>
  <si>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</si>
  <si>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</si>
  <si>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</si>
  <si>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</si>
  <si>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</si>
  <si>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</si>
  <si>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</si>
  <si>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</si>
  <si>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</si>
  <si>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</si>
  <si>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</si>
  <si>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</si>
  <si>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</si>
  <si>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</si>
  <si>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</si>
  <si>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</si>
  <si>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</si>
  <si>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</si>
  <si>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</si>
  <si>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</si>
  <si>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</si>
  <si>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</si>
  <si>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</si>
  <si>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</si>
  <si>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</si>
  <si>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</si>
  <si>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</si>
  <si>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</si>
  <si>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</si>
  <si>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</si>
  <si>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</si>
  <si>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</si>
  <si>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</si>
  <si>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</si>
  <si>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</si>
  <si>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</si>
  <si>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</si>
  <si>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</si>
  <si>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</si>
  <si>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</si>
  <si>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</si>
  <si>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</si>
  <si>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</si>
  <si>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</si>
  <si>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</si>
  <si>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</si>
  <si>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</si>
  <si>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</si>
  <si>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</si>
  <si>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</si>
  <si>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</si>
  <si>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</si>
  <si>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</si>
  <si>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</si>
  <si>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</si>
  <si>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</si>
  <si>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</si>
  <si>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</si>
  <si>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</si>
  <si>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</si>
  <si>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</si>
  <si>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</si>
  <si>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</si>
  <si>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</si>
  <si>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</si>
  <si>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</si>
  <si>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</si>
  <si>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</si>
  <si>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</si>
  <si>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</si>
  <si>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</si>
  <si>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</si>
  <si>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</si>
  <si>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</si>
  <si>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</si>
  <si>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</si>
  <si>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</si>
  <si>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</si>
  <si>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</si>
  <si>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</si>
  <si>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</si>
  <si>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</si>
  <si>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</si>
  <si>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</si>
  <si>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</si>
  <si>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</si>
  <si>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</si>
  <si>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</si>
  <si>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</si>
  <si>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</si>
  <si>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</si>
  <si>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</si>
  <si>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</si>
  <si>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</si>
  <si>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</si>
  <si>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</si>
  <si>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</si>
  <si>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</si>
  <si>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</si>
  <si>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</si>
  <si>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</si>
  <si>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</si>
  <si>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</si>
  <si>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</si>
  <si>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</si>
  <si>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</si>
  <si>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</si>
  <si>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</si>
  <si>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</si>
  <si>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</si>
  <si>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</si>
  <si>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</si>
  <si>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</si>
  <si>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</si>
  <si>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</si>
  <si>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</si>
  <si>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</si>
  <si>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</si>
  <si>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</si>
  <si>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</si>
  <si>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</si>
  <si>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</si>
  <si>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</si>
  <si>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</si>
  <si>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</si>
  <si>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</si>
  <si>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</si>
  <si>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</si>
  <si>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</si>
  <si>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</si>
  <si>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</si>
  <si>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</si>
  <si>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</si>
  <si>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</si>
  <si>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</si>
  <si>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</si>
  <si>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</si>
  <si>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</si>
  <si>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</si>
  <si>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</si>
  <si>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</si>
  <si>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</si>
  <si>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</si>
  <si>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</si>
  <si>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</si>
  <si>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</si>
  <si>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</si>
  <si>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</si>
  <si>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</si>
  <si>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</si>
  <si>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</si>
  <si>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</si>
  <si>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</si>
  <si>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</si>
  <si>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</si>
  <si>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</si>
  <si>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</si>
  <si>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</si>
  <si>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</si>
  <si>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</si>
  <si>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</si>
  <si>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</si>
  <si>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</si>
  <si>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</si>
  <si>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</si>
  <si>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</si>
  <si>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</si>
  <si>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</si>
  <si>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</si>
  <si>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</si>
  <si>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</si>
  <si>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</si>
  <si>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</si>
  <si>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</si>
  <si>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</si>
  <si>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</si>
  <si>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</si>
  <si>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</si>
  <si>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</si>
  <si>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</si>
  <si>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</si>
  <si>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</si>
  <si>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</si>
  <si>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</si>
  <si>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</si>
  <si>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</si>
  <si>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</si>
  <si>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</si>
  <si>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</si>
  <si>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</si>
  <si>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</si>
  <si>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</si>
  <si>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</si>
  <si>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</si>
  <si>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</si>
  <si>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</si>
  <si>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</si>
  <si>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</si>
  <si>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</si>
  <si>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</si>
  <si>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</si>
  <si>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</si>
  <si>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</si>
  <si>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</si>
  <si>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</si>
  <si>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</si>
  <si>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</si>
  <si>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</si>
  <si>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</si>
  <si>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</si>
  <si>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</si>
  <si>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</si>
  <si>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</si>
  <si>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</si>
  <si>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</si>
  <si>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</si>
  <si>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</si>
  <si>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</si>
  <si>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</si>
  <si>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</si>
  <si>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</si>
  <si>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</si>
  <si>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</si>
  <si>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</si>
  <si>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</si>
  <si>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</si>
  <si>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</si>
  <si>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</si>
  <si>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</si>
  <si>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</si>
  <si>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</si>
  <si>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</si>
  <si>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</si>
  <si>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</si>
  <si>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</si>
  <si>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</si>
  <si>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</si>
  <si>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</si>
  <si>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</si>
  <si>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</si>
  <si>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</si>
  <si>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</si>
  <si>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</si>
  <si>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</si>
  <si>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</si>
  <si>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</si>
  <si>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</si>
  <si>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</si>
  <si>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</si>
  <si>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</si>
  <si>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</si>
  <si>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</si>
  <si>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</si>
  <si>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</si>
  <si>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</si>
  <si>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</si>
  <si>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</si>
  <si>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</si>
  <si>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</si>
  <si>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</si>
  <si>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</si>
  <si>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</si>
  <si>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</si>
  <si>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</si>
  <si>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</si>
  <si>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</si>
  <si>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</si>
  <si>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</si>
  <si>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</si>
  <si>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</si>
  <si>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</si>
  <si>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</si>
  <si>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</si>
  <si>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</si>
  <si>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</si>
  <si>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</si>
  <si>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</si>
  <si>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</si>
  <si>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</si>
  <si>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</si>
  <si>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</si>
  <si>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</si>
  <si>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</si>
  <si>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</si>
  <si>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</si>
  <si>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</si>
  <si>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</si>
  <si>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</si>
  <si>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</si>
  <si>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</si>
  <si>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</si>
  <si>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</si>
  <si>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</si>
  <si>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</si>
  <si>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</si>
  <si>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</si>
  <si>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</si>
  <si>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</si>
  <si>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</si>
  <si>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</si>
  <si>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</si>
  <si>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</si>
  <si>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</si>
  <si>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</si>
  <si>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</si>
  <si>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</si>
  <si>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</si>
  <si>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</si>
  <si>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</si>
  <si>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</si>
  <si>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</si>
  <si>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</si>
  <si>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</si>
  <si>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</si>
  <si>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</si>
  <si>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</si>
  <si>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</si>
  <si>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</si>
  <si>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</si>
  <si>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</si>
  <si>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</si>
  <si>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</si>
  <si>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</si>
  <si>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</si>
  <si>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</si>
  <si>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</si>
  <si>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</si>
  <si>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</si>
  <si>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</si>
  <si>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</si>
  <si>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</si>
  <si>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</si>
  <si>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</si>
  <si>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</si>
  <si>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</si>
  <si>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</si>
  <si>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</si>
  <si>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</si>
  <si>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</si>
  <si>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</si>
  <si>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</si>
  <si>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</si>
  <si>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</si>
  <si>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</si>
  <si>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</si>
  <si>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</si>
  <si>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</si>
  <si>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</si>
  <si>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</si>
  <si>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</si>
  <si>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</si>
  <si>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</si>
  <si>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</si>
  <si>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</si>
  <si>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</si>
  <si>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</si>
  <si>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</si>
  <si>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</si>
  <si>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</si>
  <si>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</si>
  <si>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</si>
  <si>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</si>
  <si>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</si>
  <si>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</si>
  <si>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</si>
  <si>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</si>
  <si>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</si>
  <si>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</si>
  <si>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</si>
  <si>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</si>
  <si>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</si>
  <si>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</si>
  <si>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</si>
  <si>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</si>
  <si>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</si>
  <si>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</si>
  <si>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</si>
  <si>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</si>
  <si>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</si>
  <si>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</si>
  <si>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</si>
  <si>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</si>
  <si>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</si>
  <si>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</si>
  <si>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</si>
  <si>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</si>
  <si>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</si>
  <si>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</si>
  <si>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</si>
  <si>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</si>
  <si>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</si>
  <si>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</si>
  <si>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</si>
  <si>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</si>
  <si>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</si>
  <si>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</si>
  <si>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</si>
  <si>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</si>
  <si>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</si>
  <si>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</si>
  <si>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</si>
  <si>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</si>
  <si>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</si>
  <si>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</si>
  <si>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</si>
  <si>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</si>
  <si>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</si>
  <si>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</si>
  <si>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</si>
  <si>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</si>
  <si>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</si>
  <si>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</si>
  <si>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</si>
  <si>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</si>
  <si>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</si>
  <si>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</si>
  <si>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</si>
  <si>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</si>
  <si>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</si>
  <si>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</si>
  <si>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</si>
  <si>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</si>
  <si>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</si>
  <si>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</si>
  <si>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</si>
  <si>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</si>
  <si>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</si>
  <si>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</si>
  <si>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</si>
  <si>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</si>
  <si>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</si>
  <si>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</si>
  <si>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</si>
  <si>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</si>
  <si>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</si>
  <si>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</si>
  <si>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</si>
  <si>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</si>
  <si>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</si>
  <si>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</si>
  <si>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</si>
  <si>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</si>
  <si>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</si>
  <si>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</si>
  <si>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</si>
  <si>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</si>
  <si>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</si>
  <si>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</si>
  <si>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</si>
  <si>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</si>
  <si>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</si>
  <si>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</si>
  <si>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</si>
  <si>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</si>
  <si>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</si>
  <si>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</si>
  <si>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</si>
  <si>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</si>
  <si>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</si>
  <si>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</si>
  <si>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</si>
  <si>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</si>
  <si>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</si>
  <si>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</si>
  <si>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</si>
  <si>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</si>
  <si>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</si>
  <si>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</si>
  <si>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</si>
  <si>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</si>
  <si>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</si>
  <si>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</si>
  <si>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</si>
  <si>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</si>
  <si>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</si>
  <si>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</si>
  <si>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</si>
  <si>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</si>
  <si>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</si>
  <si>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</si>
  <si>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</si>
  <si>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</si>
  <si>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</si>
  <si>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</si>
  <si>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</si>
  <si>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</si>
  <si>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</si>
  <si>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</si>
  <si>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</si>
  <si>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</si>
  <si>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</si>
  <si>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</si>
  <si>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</si>
  <si>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</si>
  <si>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</si>
  <si>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</si>
  <si>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</si>
  <si>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</si>
  <si>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</si>
  <si>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</si>
  <si>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</si>
  <si>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</si>
  <si>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</si>
  <si>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</si>
  <si>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</si>
  <si>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</si>
  <si>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</si>
  <si>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</si>
  <si>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</si>
  <si>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</si>
  <si>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</si>
  <si>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</si>
  <si>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</si>
  <si>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</si>
  <si>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</si>
  <si>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</si>
  <si>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</si>
  <si>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</si>
  <si>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</si>
  <si>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</si>
  <si>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</si>
  <si>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</si>
  <si>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</si>
  <si>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</si>
  <si>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</si>
  <si>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</si>
  <si>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</si>
  <si>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</si>
  <si>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</si>
  <si>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</si>
  <si>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</si>
  <si>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</si>
  <si>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</si>
  <si>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</si>
  <si>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</si>
  <si>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</si>
  <si>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</si>
  <si>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</si>
  <si>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</si>
  <si>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</si>
  <si>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</si>
  <si>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</si>
  <si>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</si>
  <si>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</si>
  <si>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</si>
  <si>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</si>
  <si>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</si>
  <si>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</si>
  <si>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</si>
  <si>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</si>
  <si>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</si>
  <si>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</si>
  <si>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</si>
  <si>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</si>
  <si>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</si>
  <si>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</si>
  <si>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</si>
  <si>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</si>
  <si>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</si>
  <si>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</si>
  <si>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</si>
  <si>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</si>
  <si>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</si>
  <si>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</si>
  <si>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</si>
  <si>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</si>
  <si>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</si>
  <si>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</si>
  <si>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</si>
  <si>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</si>
  <si>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</si>
  <si>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</si>
  <si>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</si>
  <si>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</si>
  <si>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</si>
  <si>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</si>
  <si>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</si>
  <si>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</si>
  <si>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</si>
  <si>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</si>
  <si>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</si>
  <si>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</si>
  <si>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</si>
  <si>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</si>
  <si>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</si>
  <si>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</si>
  <si>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</si>
  <si>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</si>
  <si>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</si>
  <si>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</si>
  <si>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</si>
  <si>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</si>
  <si>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</si>
  <si>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</si>
  <si>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</si>
  <si>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</si>
  <si>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</si>
  <si>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</si>
  <si>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</si>
  <si>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</si>
  <si>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</si>
  <si>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</si>
  <si>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</si>
  <si>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</si>
  <si>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</si>
  <si>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</si>
  <si>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</si>
  <si>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</si>
  <si>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</si>
  <si>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</si>
  <si>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</si>
  <si>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</si>
  <si>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</si>
  <si>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</si>
  <si>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</si>
  <si>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</si>
  <si>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</si>
  <si>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</si>
  <si>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</si>
  <si>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</si>
  <si>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</si>
  <si>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</si>
  <si>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</si>
  <si>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</si>
  <si>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</si>
  <si>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</si>
  <si>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</si>
  <si>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</si>
  <si>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</si>
  <si>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</si>
  <si>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</si>
  <si>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</si>
  <si>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</si>
  <si>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</si>
  <si>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</si>
  <si>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</si>
  <si>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</si>
  <si>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</si>
  <si>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</si>
  <si>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</si>
  <si>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</si>
  <si>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</si>
  <si>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</si>
  <si>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</si>
  <si>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</si>
  <si>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</si>
  <si>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</si>
  <si>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</si>
  <si>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</si>
  <si>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</si>
  <si>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</si>
  <si>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</si>
  <si>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</si>
  <si>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</si>
  <si>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</si>
  <si>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</si>
  <si>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</si>
  <si>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</si>
  <si>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</si>
  <si>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</si>
  <si>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</si>
  <si>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</si>
  <si>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</si>
  <si>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</si>
  <si>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</si>
  <si>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</si>
  <si>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</si>
  <si>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</si>
  <si>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</si>
  <si>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</si>
  <si>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</si>
  <si>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</si>
  <si>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</si>
  <si>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</si>
  <si>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</si>
  <si>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</si>
  <si>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</si>
  <si>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</si>
  <si>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</si>
  <si>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</si>
  <si>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</si>
  <si>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</si>
  <si>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</si>
  <si>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</si>
  <si>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</si>
  <si>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</si>
  <si>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</si>
  <si>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</si>
  <si>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</si>
  <si>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</si>
  <si>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</si>
  <si>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</si>
  <si>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</si>
  <si>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</si>
  <si>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</si>
  <si>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</si>
  <si>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</si>
  <si>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</si>
  <si>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</si>
  <si>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</si>
  <si>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</si>
  <si>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</si>
  <si>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</si>
  <si>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</si>
  <si>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</si>
  <si>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</si>
  <si>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</si>
  <si>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</si>
  <si>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</si>
  <si>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</si>
  <si>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</si>
  <si>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</si>
  <si>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</si>
  <si>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</si>
  <si>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</si>
  <si>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</si>
  <si>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</si>
  <si>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</si>
  <si>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</si>
  <si>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</si>
  <si>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</si>
  <si>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</si>
  <si>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</si>
  <si>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</si>
  <si>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</si>
  <si>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</si>
  <si>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</si>
  <si>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</si>
  <si>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</si>
  <si>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</si>
  <si>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</si>
  <si>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</si>
  <si>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</si>
  <si>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</si>
  <si>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</si>
  <si>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</si>
  <si>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</si>
  <si>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</si>
  <si>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</si>
  <si>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</si>
  <si>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</si>
  <si>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</si>
  <si>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</si>
  <si>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</si>
  <si>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</si>
  <si>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</si>
  <si>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</si>
  <si>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</si>
  <si>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</si>
  <si>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</si>
  <si>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</si>
  <si>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</si>
  <si>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</si>
  <si>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</si>
  <si>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</si>
  <si>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</si>
  <si>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</si>
  <si>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</si>
  <si>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</si>
  <si>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</si>
  <si>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</si>
  <si>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</si>
  <si>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</si>
  <si>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</si>
  <si>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</si>
  <si>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</si>
  <si>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</si>
  <si>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</si>
  <si>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</si>
  <si>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</si>
  <si>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</si>
  <si>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</si>
  <si>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</si>
  <si>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</si>
  <si>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</si>
  <si>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</si>
  <si>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</si>
  <si>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</si>
  <si>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</si>
  <si>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</si>
  <si>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</si>
  <si>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</si>
  <si>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</si>
  <si>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</si>
  <si>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</si>
  <si>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</si>
  <si>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</si>
  <si>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</si>
  <si>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</si>
  <si>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</si>
  <si>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</si>
  <si>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</si>
  <si>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</si>
  <si>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</si>
  <si>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</si>
  <si>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</si>
  <si>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</si>
  <si>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</si>
  <si>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</si>
  <si>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</si>
  <si>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</si>
  <si>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</si>
  <si>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</si>
  <si>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</si>
  <si>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</si>
  <si>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</si>
  <si>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</si>
  <si>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</si>
  <si>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</si>
  <si>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</si>
  <si>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</si>
  <si>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</si>
  <si>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</si>
  <si>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</si>
  <si>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</si>
  <si>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</si>
  <si>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</si>
  <si>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</si>
  <si>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</si>
  <si>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</si>
  <si>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</si>
  <si>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</si>
  <si>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</si>
  <si>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</si>
  <si>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</si>
  <si>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</si>
  <si>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</si>
  <si>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</si>
  <si>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</si>
  <si>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</si>
  <si>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</si>
  <si>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</si>
  <si>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</si>
  <si>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</si>
  <si>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</si>
  <si>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</si>
  <si>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</si>
  <si>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</si>
  <si>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</si>
  <si>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</si>
  <si>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</si>
  <si>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</si>
  <si>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</si>
  <si>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</si>
  <si>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</si>
  <si>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</si>
  <si>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</si>
  <si>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</si>
  <si>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</si>
  <si>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</si>
  <si>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</si>
  <si>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</si>
  <si>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</si>
  <si>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</si>
  <si>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</si>
  <si>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</si>
  <si>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</si>
  <si>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</si>
  <si>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</si>
  <si>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</si>
  <si>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</si>
  <si>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</si>
  <si>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</si>
  <si>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</si>
  <si>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</si>
  <si>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</si>
  <si>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</si>
  <si>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</si>
  <si>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</si>
  <si>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</si>
  <si>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</si>
  <si>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</si>
  <si>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</si>
  <si>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</si>
  <si>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</si>
  <si>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</si>
  <si>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</si>
  <si>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</si>
  <si>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</si>
  <si>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</si>
  <si>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</si>
  <si>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</si>
  <si>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</si>
  <si>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</si>
  <si>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</si>
  <si>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</si>
  <si>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</si>
  <si>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</si>
  <si>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</si>
  <si>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</si>
  <si>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</si>
  <si>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</si>
  <si>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</si>
  <si>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</si>
  <si>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</si>
  <si>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</si>
  <si>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</si>
  <si>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</si>
  <si>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</si>
  <si>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</si>
  <si>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</si>
  <si>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</si>
  <si>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</si>
  <si>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</si>
  <si>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</si>
  <si>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</si>
  <si>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</si>
  <si>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</si>
  <si>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</si>
  <si>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</si>
  <si>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</si>
  <si>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</si>
  <si>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</si>
  <si>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</si>
  <si>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</si>
  <si>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</si>
  <si>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</si>
  <si>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</si>
  <si>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</si>
  <si>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</si>
  <si>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</si>
  <si>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</si>
  <si>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</si>
  <si>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</si>
  <si>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</si>
  <si>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</si>
  <si>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</si>
  <si>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</si>
  <si>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</si>
  <si>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</si>
  <si>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</si>
  <si>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</si>
  <si>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</si>
  <si>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</si>
  <si>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</si>
  <si>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</si>
  <si>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</si>
  <si>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</si>
  <si>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</si>
  <si>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</si>
  <si>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</si>
  <si>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</si>
  <si>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</si>
  <si>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</si>
  <si>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</si>
  <si>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</si>
  <si>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</si>
  <si>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</si>
  <si>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</si>
  <si>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</si>
  <si>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</si>
  <si>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</si>
  <si>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</si>
  <si>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</si>
  <si>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</si>
  <si>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</si>
  <si>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</si>
  <si>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</si>
  <si>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</si>
  <si>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</si>
  <si>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</si>
  <si>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</si>
  <si>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</si>
  <si>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</si>
  <si>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</si>
  <si>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</si>
  <si>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</si>
  <si>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</si>
  <si>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</si>
  <si>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</si>
  <si>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</si>
  <si>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</si>
  <si>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</si>
  <si>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</si>
  <si>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</si>
  <si>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</si>
  <si>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</si>
  <si>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</si>
  <si>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</si>
  <si>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</si>
  <si>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</si>
  <si>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</si>
  <si>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</si>
  <si>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</si>
  <si>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</si>
  <si>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</si>
  <si>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</si>
  <si>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</si>
  <si>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</si>
  <si>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</si>
  <si>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</si>
  <si>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</si>
  <si>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</si>
  <si>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</si>
  <si>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</si>
  <si>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</si>
  <si>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</si>
  <si>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</si>
  <si>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</si>
  <si>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</si>
  <si>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</si>
  <si>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</si>
  <si>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</si>
  <si>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</si>
  <si>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</si>
  <si>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</si>
  <si>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</si>
  <si>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</si>
  <si>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</si>
  <si>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</si>
  <si>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</si>
  <si>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</si>
  <si>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</si>
  <si>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</si>
  <si>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</si>
  <si>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</si>
  <si>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</si>
  <si>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</si>
  <si>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</si>
  <si>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</si>
  <si>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</si>
  <si>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</si>
  <si>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</si>
  <si>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</si>
  <si>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</si>
  <si>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</si>
  <si>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</si>
  <si>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</si>
  <si>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</si>
  <si>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</si>
  <si>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</si>
  <si>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</si>
  <si>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</si>
  <si>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</si>
  <si>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</si>
  <si>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</si>
  <si>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</si>
  <si>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</si>
  <si>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</si>
  <si>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</si>
  <si>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</si>
  <si>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</si>
  <si>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</si>
  <si>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</si>
  <si>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</si>
  <si>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</si>
  <si>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</si>
  <si>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</si>
  <si>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</si>
  <si>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</si>
  <si>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</si>
  <si>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</si>
  <si>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</si>
  <si>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</si>
  <si>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</si>
  <si>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</si>
  <si>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</si>
  <si>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</si>
  <si>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</si>
  <si>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</si>
  <si>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</si>
  <si>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</si>
  <si>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</si>
  <si>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</si>
  <si>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</si>
  <si>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</si>
  <si>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</si>
  <si>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</si>
  <si>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</si>
  <si>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</si>
  <si>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</si>
  <si>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</si>
  <si>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</si>
  <si>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</si>
  <si>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</si>
  <si>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</si>
  <si>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</si>
  <si>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</si>
  <si>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</si>
  <si>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</si>
  <si>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</si>
  <si>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</si>
  <si>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</si>
  <si>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</si>
  <si>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</si>
  <si>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</si>
  <si>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</si>
  <si>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</si>
  <si>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</si>
  <si>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</si>
  <si>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</si>
  <si>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</si>
  <si>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</si>
  <si>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</si>
  <si>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</si>
  <si>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</si>
  <si>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</si>
  <si>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</si>
  <si>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</si>
  <si>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</si>
  <si>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</si>
  <si>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</si>
  <si>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</si>
  <si>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</si>
  <si>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</si>
  <si>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</si>
  <si>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</si>
  <si>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</si>
  <si>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</si>
  <si>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</si>
  <si>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</si>
  <si>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</si>
  <si>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</si>
  <si>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</si>
  <si>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</si>
  <si>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</si>
  <si>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</si>
  <si>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</si>
  <si>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</si>
  <si>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</si>
  <si>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</si>
  <si>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</si>
  <si>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</si>
  <si>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</si>
  <si>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</si>
  <si>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</si>
  <si>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</si>
  <si>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</si>
  <si>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</si>
  <si>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</si>
  <si>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</si>
  <si>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</si>
  <si>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</si>
  <si>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</si>
  <si>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</si>
  <si>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</si>
  <si>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</si>
  <si>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</si>
  <si>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</si>
  <si>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</si>
  <si>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</si>
  <si>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</si>
  <si>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</si>
  <si>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</si>
  <si>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</si>
  <si>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</si>
  <si>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</si>
  <si>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</si>
  <si>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</si>
  <si>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</si>
  <si>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</si>
  <si>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</si>
  <si>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</si>
  <si>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</si>
  <si>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</si>
  <si>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</si>
  <si>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</si>
  <si>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</si>
  <si>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</si>
  <si>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</si>
  <si>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</si>
  <si>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</si>
  <si>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</si>
  <si>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</si>
  <si>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</si>
  <si>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</si>
  <si>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</si>
  <si>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</si>
  <si>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</si>
  <si>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</si>
  <si>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</si>
  <si>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</si>
  <si>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</si>
  <si>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</si>
  <si>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</si>
  <si>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</si>
  <si>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</si>
  <si>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</si>
  <si>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</si>
  <si>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</si>
  <si>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</si>
  <si>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</si>
  <si>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</si>
  <si>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</si>
  <si>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</si>
  <si>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</si>
  <si>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</si>
  <si>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</si>
  <si>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</si>
  <si>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</si>
  <si>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</si>
  <si>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</si>
  <si>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</si>
  <si>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</si>
  <si>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</si>
  <si>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</si>
  <si>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</si>
  <si>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</si>
  <si>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</si>
  <si>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</si>
  <si>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</si>
  <si>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</si>
  <si>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</si>
  <si>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</si>
  <si>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</si>
  <si>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</si>
  <si>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</si>
  <si>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</si>
  <si>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</si>
  <si>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</si>
  <si>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</si>
  <si>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</si>
  <si>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</si>
  <si>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</si>
  <si>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</si>
  <si>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</si>
  <si>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</si>
  <si>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</si>
  <si>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</si>
  <si>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</si>
  <si>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</si>
  <si>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</si>
  <si>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</si>
  <si>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</si>
  <si>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</si>
  <si>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</si>
  <si>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</si>
  <si>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</si>
  <si>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</si>
  <si>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</si>
  <si>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</si>
  <si>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</si>
  <si>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</si>
  <si>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</si>
  <si>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</si>
  <si>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</si>
  <si>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</si>
  <si>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</si>
  <si>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</si>
  <si>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</si>
  <si>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</si>
  <si>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</si>
  <si>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</si>
  <si>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</si>
  <si>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</si>
  <si>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</si>
  <si>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</si>
  <si>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</si>
  <si>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</si>
  <si>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</si>
  <si>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</si>
  <si>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</si>
  <si>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</si>
  <si>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</si>
  <si>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</si>
  <si>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</si>
  <si>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</si>
  <si>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</si>
  <si>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</si>
  <si>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</si>
  <si>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</si>
  <si>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</si>
  <si>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</si>
  <si>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</si>
  <si>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</si>
  <si>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</si>
  <si>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</si>
  <si>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</si>
  <si>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</si>
  <si>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</si>
  <si>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</si>
  <si>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</si>
  <si>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</si>
  <si>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</si>
  <si>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</si>
  <si>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</si>
  <si>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</si>
  <si>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</si>
  <si>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</si>
  <si>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</si>
  <si>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</si>
  <si>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</si>
  <si>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</si>
  <si>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</si>
  <si>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</si>
  <si>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</si>
  <si>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</si>
  <si>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</si>
  <si>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</si>
  <si>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</si>
  <si>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</si>
  <si>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</si>
  <si>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</si>
  <si>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</si>
  <si>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</si>
  <si>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</si>
  <si>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</si>
  <si>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</si>
  <si>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</si>
  <si>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</si>
  <si>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</si>
  <si>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</si>
  <si>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</si>
  <si>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</si>
  <si>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</si>
  <si>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</si>
  <si>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</si>
  <si>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</si>
  <si>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</si>
  <si>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</si>
  <si>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</si>
  <si>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</si>
  <si>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</si>
  <si>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</si>
  <si>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</si>
  <si>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</si>
  <si>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</si>
  <si>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</si>
  <si>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</si>
  <si>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</si>
  <si>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</si>
  <si>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</si>
  <si>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</si>
  <si>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</si>
  <si>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</si>
  <si>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</si>
  <si>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</si>
  <si>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</si>
  <si>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</si>
  <si>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</si>
  <si>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</si>
  <si>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</si>
  <si>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</si>
  <si>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</si>
  <si>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</si>
  <si>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</si>
  <si>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</si>
  <si>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</si>
  <si>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</si>
  <si>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</si>
  <si>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</si>
  <si>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</si>
  <si>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</si>
  <si>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</si>
  <si>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</si>
  <si>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</si>
  <si>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</si>
  <si>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</si>
  <si>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</si>
  <si>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</si>
  <si>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</si>
  <si>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</si>
  <si>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</si>
  <si>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</si>
  <si>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</si>
  <si>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</si>
  <si>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</si>
  <si>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</si>
  <si>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</si>
  <si>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</si>
  <si>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</si>
  <si>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</si>
  <si>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</si>
  <si>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</si>
  <si>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</si>
  <si>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</si>
  <si>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</si>
  <si>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</si>
  <si>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</si>
  <si>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</si>
  <si>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</si>
  <si>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</si>
  <si>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</si>
  <si>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</si>
  <si>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</si>
  <si>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</si>
  <si>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</si>
  <si>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</si>
  <si>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</si>
  <si>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</si>
  <si>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</si>
  <si>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</si>
  <si>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</si>
  <si>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</si>
  <si>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</si>
  <si>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</si>
  <si>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</si>
  <si>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</si>
  <si>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</si>
  <si>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</si>
  <si>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</si>
  <si>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</si>
  <si>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</si>
  <si>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</si>
  <si>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</si>
  <si>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</si>
  <si>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</si>
  <si>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</si>
  <si>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</si>
  <si>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</si>
  <si>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</si>
  <si>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</si>
  <si>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</si>
  <si>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</si>
  <si>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</si>
  <si>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</si>
  <si>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</si>
  <si>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</si>
  <si>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</si>
  <si>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</si>
  <si>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</si>
  <si>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</si>
  <si>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</si>
  <si>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</si>
  <si>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</si>
  <si>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</si>
  <si>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</si>
  <si>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</si>
  <si>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</si>
  <si>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</si>
  <si>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</si>
  <si>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</si>
  <si>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</si>
  <si>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</si>
  <si>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</si>
  <si>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</si>
  <si>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</si>
  <si>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</si>
  <si>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</si>
  <si>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</si>
  <si>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</si>
  <si>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</si>
  <si>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</si>
  <si>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</si>
  <si>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</si>
  <si>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</si>
  <si>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</si>
  <si>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</si>
  <si>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</si>
  <si>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</si>
  <si>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</si>
  <si>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</si>
  <si>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</si>
  <si>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</si>
  <si>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</si>
  <si>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</si>
  <si>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</si>
  <si>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</si>
  <si>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</si>
  <si>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</si>
  <si>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</si>
  <si>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</si>
  <si>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</si>
  <si>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</si>
  <si>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</si>
  <si>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</si>
  <si>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</si>
  <si>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</si>
  <si>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</si>
  <si>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</si>
  <si>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</si>
  <si>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</si>
  <si>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</si>
  <si>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</si>
  <si>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</si>
  <si>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</si>
  <si>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</si>
  <si>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</si>
  <si>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</si>
  <si>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</si>
  <si>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</si>
  <si>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</si>
  <si>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</si>
  <si>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</si>
  <si>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</si>
  <si>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</si>
  <si>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</si>
  <si>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</si>
  <si>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</si>
  <si>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</si>
  <si>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</si>
  <si>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</si>
  <si>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</si>
  <si>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</si>
  <si>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</si>
  <si>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</si>
  <si>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</si>
  <si>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</si>
  <si>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</si>
  <si>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</si>
  <si>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</si>
  <si>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</si>
  <si>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</si>
  <si>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</si>
  <si>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</si>
  <si>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</si>
  <si>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</si>
  <si>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</si>
  <si>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</si>
  <si>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</si>
  <si>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</si>
  <si>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</si>
  <si>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</si>
  <si>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</si>
  <si>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</si>
  <si>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</si>
  <si>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</si>
  <si>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</si>
  <si>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</si>
  <si>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</si>
  <si>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</si>
  <si>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</si>
  <si>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</si>
  <si>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</si>
  <si>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</si>
  <si>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</si>
  <si>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</si>
  <si>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</si>
  <si>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</si>
  <si>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</si>
  <si>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</si>
  <si>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</si>
  <si>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</si>
  <si>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</si>
  <si>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</si>
  <si>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</si>
  <si>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</si>
  <si>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</si>
  <si>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</si>
  <si>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</si>
  <si>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</si>
  <si>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</si>
  <si>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</si>
  <si>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</si>
  <si>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</si>
  <si>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</si>
  <si>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</si>
  <si>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</si>
  <si>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</si>
  <si>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</si>
  <si>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</si>
  <si>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</si>
  <si>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</si>
  <si>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</si>
  <si>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</si>
  <si>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</si>
  <si>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</si>
  <si>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</si>
  <si>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</si>
  <si>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</si>
  <si>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</si>
  <si>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</si>
  <si>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</si>
  <si>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</si>
  <si>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</si>
  <si>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</si>
  <si>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</si>
  <si>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</si>
  <si>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</si>
  <si>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</si>
  <si>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</si>
  <si>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</si>
  <si>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</si>
  <si>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</si>
  <si>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</si>
  <si>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</si>
  <si>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</si>
  <si>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</si>
  <si>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</si>
  <si>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</si>
  <si>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</si>
  <si>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</si>
  <si>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</si>
  <si>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</si>
  <si>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</si>
  <si>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</si>
  <si>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</si>
  <si>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</si>
  <si>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</si>
  <si>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</si>
  <si>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</si>
  <si>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</si>
  <si>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</si>
  <si>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</si>
  <si>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</si>
  <si>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</si>
  <si>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</si>
  <si>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</si>
  <si>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</si>
  <si>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</si>
  <si>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</si>
  <si>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</si>
  <si>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</si>
  <si>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</si>
  <si>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</si>
  <si>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</si>
  <si>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</si>
  <si>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</si>
  <si>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</si>
  <si>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</si>
  <si>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</si>
  <si>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</si>
  <si>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</si>
  <si>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</si>
  <si>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</si>
  <si>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</si>
  <si>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</si>
  <si>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</si>
  <si>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</si>
  <si>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</si>
  <si>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</si>
  <si>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</si>
  <si>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</si>
  <si>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</si>
  <si>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</si>
  <si>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</si>
  <si>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</si>
  <si>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</si>
  <si>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</si>
  <si>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</si>
  <si>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</si>
  <si>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</si>
  <si>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</si>
  <si>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</si>
  <si>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</si>
  <si>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</si>
  <si>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</si>
  <si>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</si>
  <si>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</si>
  <si>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</si>
  <si>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</si>
  <si>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</si>
  <si>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</si>
  <si>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</si>
  <si>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</si>
  <si>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</si>
  <si>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</si>
  <si>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</si>
  <si>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</si>
  <si>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</si>
  <si>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</si>
  <si>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</si>
  <si>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</si>
  <si>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</si>
  <si>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</si>
  <si>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</si>
  <si>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</si>
  <si>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</si>
  <si>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</si>
  <si>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</si>
  <si>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</si>
  <si>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</si>
  <si>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</si>
  <si>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</si>
  <si>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</si>
  <si>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</si>
  <si>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</si>
  <si>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</si>
  <si>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</si>
  <si>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</si>
  <si>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</si>
  <si>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</si>
  <si>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</si>
  <si>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</si>
  <si>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</si>
  <si>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</si>
  <si>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</si>
  <si>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</si>
  <si>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</si>
  <si>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</si>
  <si>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</si>
  <si>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</si>
  <si>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</si>
  <si>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</si>
  <si>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</si>
  <si>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</si>
  <si>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</si>
  <si>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</si>
  <si>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</si>
  <si>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</si>
  <si>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</si>
  <si>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</si>
  <si>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</si>
  <si>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</si>
  <si>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</si>
  <si>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</si>
  <si>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</si>
  <si>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</si>
  <si>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</si>
  <si>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</si>
  <si>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</si>
  <si>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</si>
  <si>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</si>
  <si>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</si>
  <si>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</si>
  <si>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</si>
  <si>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</si>
  <si>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</si>
  <si>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</si>
  <si>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</si>
  <si>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</si>
  <si>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</si>
  <si>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</si>
  <si>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</si>
  <si>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</si>
  <si>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</si>
  <si>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</si>
  <si>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</si>
  <si>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</si>
  <si>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</si>
  <si>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</si>
  <si>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</si>
  <si>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</si>
  <si>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</si>
  <si>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</si>
  <si>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</si>
  <si>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</si>
  <si>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</si>
  <si>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</si>
  <si>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</si>
  <si>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</si>
  <si>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</si>
  <si>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</si>
  <si>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</si>
  <si>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</si>
  <si>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</si>
  <si>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</si>
  <si>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</si>
  <si>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</si>
  <si>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</si>
  <si>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</si>
  <si>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</si>
  <si>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</si>
  <si>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</si>
  <si>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</si>
  <si>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</si>
  <si>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</si>
  <si>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</si>
  <si>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</si>
  <si>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</si>
  <si>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</si>
  <si>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</si>
  <si>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</si>
  <si>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</si>
  <si>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</si>
  <si>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</si>
  <si>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</si>
  <si>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</si>
  <si>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</si>
  <si>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</si>
  <si>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</si>
  <si>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</si>
  <si>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</si>
  <si>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</si>
  <si>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</si>
  <si>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</si>
  <si>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</si>
  <si>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</si>
  <si>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</si>
  <si>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</si>
  <si>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</si>
  <si>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</si>
  <si>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</si>
  <si>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</si>
  <si>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</si>
  <si>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</si>
  <si>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</si>
  <si>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</si>
  <si>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</si>
  <si>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</si>
  <si>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</si>
  <si>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</si>
  <si>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</si>
  <si>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</si>
  <si>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</si>
  <si>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</si>
  <si>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</si>
  <si>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</si>
  <si>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</si>
  <si>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</si>
  <si>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</si>
  <si>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</si>
  <si>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</si>
  <si>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</si>
  <si>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</si>
  <si>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</si>
  <si>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</si>
  <si>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</si>
  <si>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</si>
  <si>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</si>
  <si>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</si>
  <si>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</si>
  <si>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</si>
  <si>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</si>
  <si>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</si>
  <si>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</si>
  <si>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</si>
  <si>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</si>
  <si>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</si>
  <si>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</si>
  <si>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</si>
  <si>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</si>
  <si>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</si>
  <si>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</si>
  <si>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</si>
  <si>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</si>
  <si>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</si>
  <si>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</si>
  <si>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</si>
  <si>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</si>
  <si>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</si>
  <si>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</si>
  <si>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</si>
  <si>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</si>
  <si>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</si>
  <si>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</si>
  <si>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</si>
  <si>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</si>
  <si>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</si>
  <si>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</si>
  <si>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</si>
  <si>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</si>
  <si>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</si>
  <si>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</si>
  <si>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</si>
  <si>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</si>
  <si>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</si>
  <si>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</si>
  <si>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</si>
  <si>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</si>
  <si>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</si>
  <si>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</si>
  <si>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</si>
  <si>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</si>
  <si>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</si>
  <si>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</si>
  <si>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</si>
  <si>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</si>
  <si>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</si>
  <si>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</si>
  <si>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</si>
  <si>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</si>
  <si>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</si>
  <si>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</si>
  <si>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</si>
  <si>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</si>
  <si>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</si>
  <si>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</si>
  <si>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</si>
  <si>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</si>
  <si>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</si>
  <si>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</si>
  <si>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</si>
  <si>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</si>
  <si>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</si>
  <si>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</si>
  <si>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</si>
  <si>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</si>
  <si>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</si>
  <si>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</si>
  <si>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</si>
  <si>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</si>
  <si>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</si>
  <si>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</si>
  <si>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</si>
  <si>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</si>
  <si>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</si>
  <si>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</si>
  <si>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</si>
  <si>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</si>
  <si>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</si>
  <si>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</si>
  <si>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</si>
  <si>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</si>
  <si>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</si>
  <si>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</si>
  <si>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</si>
  <si>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</si>
  <si>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</si>
  <si>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</si>
  <si>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</si>
  <si>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</si>
  <si>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</si>
  <si>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</si>
  <si>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</si>
  <si>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</si>
  <si>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</si>
  <si>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</si>
  <si>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</si>
  <si>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</si>
  <si>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</si>
  <si>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</si>
  <si>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</si>
  <si>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</si>
  <si>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</si>
  <si>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</si>
  <si>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</si>
  <si>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</si>
  <si>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</si>
  <si>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</si>
  <si>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</si>
  <si>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</si>
  <si>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</si>
  <si>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</si>
  <si>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</si>
  <si>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</si>
  <si>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</si>
  <si>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</si>
  <si>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</si>
  <si>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</si>
  <si>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</si>
  <si>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</si>
  <si>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</si>
  <si>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</si>
  <si>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</si>
  <si>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</si>
  <si>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</si>
  <si>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</si>
  <si>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</si>
  <si>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</si>
  <si>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</si>
  <si>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</si>
  <si>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</si>
  <si>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</si>
  <si>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</si>
  <si>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</si>
  <si>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</si>
  <si>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</si>
  <si>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</si>
  <si>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</si>
  <si>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</si>
  <si>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</si>
  <si>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</si>
  <si>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</si>
  <si>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</si>
  <si>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</si>
  <si>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</si>
  <si>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</si>
  <si>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</si>
  <si>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</si>
  <si>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</si>
  <si>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</si>
  <si>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</si>
  <si>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</si>
  <si>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</si>
  <si>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</si>
  <si>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</si>
  <si>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</si>
  <si>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</si>
  <si>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</si>
  <si>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</si>
  <si>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</si>
  <si>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</si>
  <si>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</si>
  <si>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</si>
  <si>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</si>
  <si>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</si>
  <si>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</si>
  <si>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</si>
  <si>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</si>
  <si>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</si>
  <si>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</si>
  <si>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</si>
  <si>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</si>
  <si>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</si>
  <si>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</si>
  <si>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</si>
  <si>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</si>
  <si>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</si>
  <si>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</si>
  <si>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</si>
  <si>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</si>
  <si>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</si>
  <si>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</si>
  <si>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</si>
  <si>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</si>
  <si>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</si>
  <si>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</si>
  <si>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</si>
  <si>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</si>
  <si>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</si>
  <si>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</si>
  <si>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</si>
  <si>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</si>
  <si>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</si>
  <si>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</si>
  <si>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</si>
  <si>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</si>
  <si>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</si>
  <si>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</si>
  <si>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</si>
  <si>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</si>
  <si>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</si>
  <si>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</si>
  <si>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</si>
  <si>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</si>
  <si>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</si>
  <si>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</si>
  <si>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</si>
  <si>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</si>
  <si>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</si>
  <si>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</si>
  <si>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</si>
  <si>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</si>
  <si>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</si>
  <si>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</si>
  <si>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</si>
  <si>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</si>
  <si>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</si>
  <si>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</si>
  <si>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</si>
  <si>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</si>
  <si>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</si>
  <si>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</si>
  <si>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</si>
  <si>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</si>
  <si>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</si>
  <si>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</si>
  <si>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</si>
  <si>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</si>
  <si>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</si>
  <si>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</si>
  <si>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</si>
  <si>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</si>
  <si>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</si>
  <si>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</si>
  <si>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</si>
  <si>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</si>
  <si>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</si>
  <si>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</si>
  <si>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</si>
  <si>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</si>
  <si>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</si>
  <si>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</si>
  <si>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</si>
  <si>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</si>
  <si>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</si>
  <si>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</si>
  <si>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</si>
  <si>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</si>
  <si>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</si>
  <si>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</si>
  <si>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</si>
  <si>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</si>
  <si>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</si>
  <si>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</si>
  <si>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</si>
  <si>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</si>
  <si>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</si>
  <si>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</si>
  <si>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</si>
  <si>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</si>
  <si>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</si>
  <si>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</si>
  <si>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</si>
  <si>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</si>
  <si>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</si>
  <si>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</si>
  <si>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</si>
  <si>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</si>
  <si>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</si>
  <si>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</si>
  <si>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</si>
  <si>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</si>
  <si>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</si>
  <si>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</si>
  <si>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</si>
  <si>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</si>
  <si>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</si>
  <si>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</si>
  <si>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</si>
  <si>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</si>
  <si>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</si>
  <si>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</si>
  <si>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</si>
  <si>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</si>
  <si>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</si>
  <si>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</si>
  <si>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</si>
  <si>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</si>
  <si>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</si>
  <si>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</si>
  <si>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</si>
  <si>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</si>
  <si>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</si>
  <si>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</si>
  <si>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</si>
  <si>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</si>
  <si>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</si>
  <si>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</si>
  <si>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</si>
  <si>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</si>
  <si>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</si>
  <si>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</si>
  <si>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</si>
  <si>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</si>
  <si>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</si>
  <si>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</si>
  <si>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</si>
  <si>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</si>
  <si>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</si>
  <si>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</si>
  <si>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</si>
  <si>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</si>
  <si>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</si>
  <si>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</si>
  <si>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</si>
  <si>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</si>
  <si>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</si>
  <si>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</si>
  <si>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</si>
  <si>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</si>
  <si>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</si>
  <si>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</si>
  <si>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</si>
  <si>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</si>
  <si>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</si>
  <si>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</si>
  <si>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</si>
  <si>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</si>
  <si>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</si>
  <si>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</si>
  <si>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</si>
  <si>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</si>
  <si>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</si>
  <si>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</si>
  <si>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</si>
  <si>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</si>
  <si>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</si>
  <si>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</si>
  <si>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</si>
  <si>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</si>
  <si>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</si>
  <si>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</si>
  <si>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</si>
  <si>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</si>
  <si>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</si>
  <si>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</si>
  <si>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</si>
  <si>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</si>
  <si>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</si>
  <si>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</si>
  <si>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</si>
  <si>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</si>
  <si>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</si>
  <si>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</si>
  <si>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</si>
  <si>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</si>
  <si>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</si>
  <si>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</si>
  <si>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</si>
  <si>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Electro-Spec Inc.</t>
  </si>
  <si>
    <t>Plating of ferrous and non-ferrous metals, passivation, degreasing, and heat treating</t>
  </si>
  <si>
    <t>00-641-4619</t>
  </si>
  <si>
    <t>Duns</t>
  </si>
  <si>
    <t>1800 Commerce Parkway</t>
  </si>
  <si>
    <t>Jeff Smith</t>
  </si>
  <si>
    <t>jsmith@electro-spec.com</t>
  </si>
  <si>
    <t>317-738-9199</t>
  </si>
  <si>
    <t>James Sanders</t>
  </si>
  <si>
    <t>Quality Manager</t>
  </si>
  <si>
    <t>jsanders@electro-spec.com</t>
  </si>
  <si>
    <t>317-739-0921</t>
  </si>
  <si>
    <t>Technic Orosene 990 HS Brightener</t>
  </si>
  <si>
    <t>Metalbond Replenisher C</t>
  </si>
  <si>
    <t>Metalor Cobalt Brightener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</si>
</sst>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42" fontId="12" fillId="0" borderId="0" applyFont="0" applyFill="0" applyBorder="0" applyAlignment="0" applyProtection="0"/>
    <xf numFmtId="168" fontId="12" fillId="0" borderId="0" applyFont="0" applyFill="0" applyBorder="0" applyAlignment="0" applyProtection="0"/>
    <xf numFmtId="170" fontId="12" fillId="0" borderId="0" applyFont="0" applyFill="0" applyBorder="0" applyAlignment="0" applyProtection="0"/>
    <xf numFmtId="17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3" fillId="0" borderId="0"/>
    <xf numFmtId="0" fontId="84" fillId="0" borderId="0"/>
    <xf numFmtId="0" fontId="84" fillId="0" borderId="0"/>
    <xf numFmtId="166"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6" fontId="3" fillId="0" borderId="0"/>
    <xf numFmtId="0" fontId="9" fillId="0" borderId="0"/>
    <xf numFmtId="166" fontId="84" fillId="0" borderId="0"/>
    <xf numFmtId="0" fontId="4" fillId="0" borderId="0"/>
    <xf numFmtId="0" fontId="4" fillId="0" borderId="0"/>
    <xf numFmtId="166" fontId="9" fillId="0" borderId="0"/>
    <xf numFmtId="0" fontId="4" fillId="0" borderId="0"/>
    <xf numFmtId="0" fontId="9" fillId="0" borderId="0"/>
    <xf numFmtId="0" fontId="4" fillId="0" borderId="0"/>
    <xf numFmtId="0" fontId="68" fillId="0" borderId="0">
      <alignment vertical="center"/>
    </xf>
    <xf numFmtId="166"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6" fontId="3" fillId="0" borderId="0"/>
    <xf numFmtId="166"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2" fillId="0" borderId="0"/>
    <xf numFmtId="0" fontId="84" fillId="0" borderId="0"/>
    <xf numFmtId="0" fontId="84" fillId="0" borderId="0"/>
    <xf numFmtId="0" fontId="84" fillId="0" borderId="0"/>
    <xf numFmtId="166"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5">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7"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6" fontId="0" fillId="45" borderId="13" xfId="0" applyNumberFormat="1" applyFont="1" applyFill="1" applyBorder="1" applyAlignment="1">
      <alignment vertical="top" wrapText="1"/>
    </xf>
    <xf numFmtId="166" fontId="0" fillId="45" borderId="0" xfId="0" applyNumberFormat="1" applyFont="1" applyFill="1" applyBorder="1" applyAlignment="1"/>
    <xf numFmtId="166" fontId="11" fillId="45" borderId="0" xfId="0" applyNumberFormat="1" applyFont="1" applyFill="1" applyBorder="1"/>
    <xf numFmtId="166" fontId="0" fillId="45" borderId="0" xfId="0" applyNumberFormat="1" applyFont="1" applyFill="1" applyBorder="1"/>
    <xf numFmtId="166" fontId="0" fillId="0" borderId="0" xfId="0" applyNumberFormat="1" applyFont="1" applyFill="1" applyBorder="1"/>
    <xf numFmtId="166"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6"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6"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6"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6"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6"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6"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6"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6" fillId="45" borderId="25" xfId="0" applyFont="1" applyFill="1" applyBorder="1" applyAlignment="1" applyProtection="1">
      <alignment horizontal="center" wrapText="1"/>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49" fontId="10" fillId="45" borderId="58" xfId="492" applyNumberFormat="1" applyFill="1" applyBorder="1" applyAlignment="1" applyProtection="1">
      <alignment horizontal="left" vertical="center" wrapText="1"/>
      <protection locked="0"/>
    </xf>
    <xf numFmtId="49" fontId="17" fillId="45" borderId="11" xfId="0" applyNumberFormat="1" applyFont="1" applyFill="1" applyBorder="1" applyAlignment="1" applyProtection="1">
      <alignment horizontal="left" vertical="center" wrapText="1"/>
      <protection locked="0"/>
    </xf>
    <xf numFmtId="49" fontId="17" fillId="45" borderId="33" xfId="0" applyNumberFormat="1" applyFont="1" applyFill="1" applyBorder="1" applyAlignment="1" applyProtection="1">
      <alignment horizontal="left" vertical="center" wrapText="1"/>
      <protection locked="0"/>
    </xf>
    <xf numFmtId="49" fontId="17" fillId="45" borderId="58" xfId="0" applyNumberFormat="1" applyFont="1" applyFill="1" applyBorder="1" applyAlignment="1" applyProtection="1">
      <alignment horizontal="left" vertical="center" wrapText="1"/>
      <protection locked="0"/>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6" fillId="45" borderId="0" xfId="0" applyFont="1" applyFill="1" applyBorder="1" applyAlignment="1" applyProtection="1">
      <alignment horizontal="center" vertical="center" wrapText="1"/>
      <protection hidden="1"/>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7" fillId="45" borderId="11" xfId="0" applyFont="1" applyFill="1" applyBorder="1" applyAlignment="1" applyProtection="1">
      <alignment horizontal="center" vertical="center"/>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7" fontId="16" fillId="45" borderId="31" xfId="0" applyNumberFormat="1" applyFont="1" applyFill="1" applyBorder="1" applyAlignment="1" applyProtection="1">
      <alignment horizontal="center" wrapText="1"/>
      <protection locked="0"/>
    </xf>
    <xf numFmtId="167" fontId="16" fillId="45" borderId="60" xfId="0" applyNumberFormat="1" applyFont="1" applyFill="1" applyBorder="1" applyAlignment="1" applyProtection="1">
      <alignment horizontal="center" wrapText="1"/>
      <protection locked="0"/>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24" fillId="0" borderId="0" xfId="492" applyFont="1" applyFill="1" applyBorder="1" applyAlignment="1" applyProtection="1">
      <alignment horizontal="center" vertical="center" wrapText="1"/>
      <protection hidden="1"/>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0" fontId="17" fillId="45" borderId="75" xfId="0" applyFont="1" applyFill="1" applyBorder="1" applyAlignment="1" applyProtection="1">
      <alignment horizontal="left" vertical="center" wrapText="1"/>
      <protection locked="0"/>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92">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3</xdr:row>
      <xdr:rowOff>0</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sanders@electro-spec.com" TargetMode="External"/><Relationship Id="rId1" Type="http://schemas.openxmlformats.org/officeDocument/2006/relationships/hyperlink" Target="mailto:jsmith@electro-sp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C59130F4-2E03-5E48-94CE-6E4A0484DB9E}">
      <selection activeCell="B24" sqref="B24"/>
      <pageMargins left="0.75" right="0.75" top="1" bottom="1" header="0.3" footer="0.3"/>
      <pageSetup paperSize="9" orientation="portrait"/>
      <headerFooter alignWithMargins="0"/>
    </customSheetView>
    <customSheetView guid="{4BDF1A28-30D5-449D-B20E-D6C97EF9FAE1}">
      <selection activeCell="B24" sqref="B24"/>
      <pageMargins left="0.75" right="0.75" top="1" bottom="1" header="0.3" footer="0.3"/>
      <pageSetup paperSize="9" orientation="portrait"/>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C59130F4-2E03-5E48-94CE-6E4A0484DB9E}" showAutoFilter="1">
      <selection activeCell="C1" sqref="C1:D65536"/>
      <pageMargins left="0.75" right="0.75" top="1" bottom="1" header="0.3" footer="0.3"/>
      <pageSetup orientation="portrait"/>
      <headerFooter alignWithMargins="0"/>
      <autoFilter ref="B1:C1"/>
    </customSheetView>
    <customSheetView guid="{4BDF1A28-30D5-449D-B20E-D6C97EF9FAE1}" showAutoFilter="1">
      <selection activeCell="C1" sqref="C1:D65536"/>
      <pageMargins left="0.75" right="0.75" top="1" bottom="1" header="0.3" footer="0.3"/>
      <pageSetup orientation="portrait"/>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G79" sqref="G79:J79"/>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81"/>
      <c r="B1" s="382"/>
      <c r="C1" s="382"/>
      <c r="D1" s="382"/>
      <c r="E1" s="382"/>
      <c r="F1" s="382"/>
      <c r="G1" s="382"/>
      <c r="H1" s="382"/>
      <c r="I1" s="382"/>
      <c r="J1" s="382"/>
      <c r="K1" s="383"/>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84" t="str">
        <f ca="1">OFFSET(L!$C$1,MATCH("Declaration"&amp;ADDRESS(ROW(),COLUMN(),4),L!$A:$A,0)-1,SL,,)</f>
        <v>Cobalt Reporting Template (CRT)</v>
      </c>
      <c r="E2" s="385"/>
      <c r="F2" s="385"/>
      <c r="G2" s="385"/>
      <c r="H2" s="385"/>
      <c r="I2" s="385"/>
      <c r="J2" s="386"/>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365"/>
      <c r="F3" s="366"/>
      <c r="G3" s="366"/>
      <c r="H3" s="366"/>
      <c r="I3" s="366"/>
      <c r="J3" s="253" t="s">
        <v>13887</v>
      </c>
      <c r="K3" s="35"/>
      <c r="L3" s="120"/>
      <c r="M3" s="111"/>
      <c r="N3" s="111"/>
      <c r="O3" s="112"/>
      <c r="P3" s="125">
        <f>MATCH($D$3,LN,0)</f>
        <v>1</v>
      </c>
    </row>
    <row r="4" spans="1:34" ht="15.75">
      <c r="A4" s="33"/>
      <c r="B4" s="390" t="str">
        <f ca="1">OFFSET(L!$C$1,MATCH("Declaration"&amp;ADDRESS(ROW(),COLUMN(),4),L!$A:$A,0)-1,SL,,)</f>
        <v>The purpose of this document is to collect sourcing information on cobalt.</v>
      </c>
      <c r="C4" s="390"/>
      <c r="D4" s="390"/>
      <c r="E4" s="390"/>
      <c r="F4" s="390"/>
      <c r="G4" s="390"/>
      <c r="H4" s="390"/>
      <c r="I4" s="394" t="str">
        <f ca="1">OFFSET(L!$C$1,MATCH("Declaration"&amp;ADDRESS(ROW(),COLUMN(),4),L!$A:$A,0)-1,SL,,)</f>
        <v>Link to Terms &amp; Conditions</v>
      </c>
      <c r="J4" s="394"/>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90" t="str">
        <f ca="1">OFFSET(L!$C$1,MATCH("Declaration"&amp;ADDRESS(ROW(),COLUMN(),4),L!$A:$A,0)-1,SL,,)</f>
        <v>Mandatory fields are noted with an asterisk (*).  Consult the instructions tab for guidance on how to answer each question.</v>
      </c>
      <c r="C6" s="390"/>
      <c r="D6" s="390"/>
      <c r="E6" s="390"/>
      <c r="F6" s="390"/>
      <c r="G6" s="390"/>
      <c r="H6" s="390"/>
      <c r="I6" s="390"/>
      <c r="J6" s="39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395" t="str">
        <f ca="1">OFFSET(L!$C$1,MATCH("Declaration"&amp;ADDRESS(ROW(),COLUMN(),4),L!$A:$A,0)-1,SL,,)</f>
        <v>Company Information</v>
      </c>
      <c r="C7" s="395"/>
      <c r="D7" s="395"/>
      <c r="E7" s="395"/>
      <c r="F7" s="395"/>
      <c r="G7" s="395"/>
      <c r="H7" s="395"/>
      <c r="I7" s="395"/>
      <c r="J7" s="395"/>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387" t="s">
        <v>14060</v>
      </c>
      <c r="E8" s="388"/>
      <c r="F8" s="388"/>
      <c r="G8" s="388"/>
      <c r="H8" s="388"/>
      <c r="I8" s="388"/>
      <c r="J8" s="389"/>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410" t="s">
        <v>377</v>
      </c>
      <c r="E9" s="411"/>
      <c r="F9" s="411"/>
      <c r="G9" s="412"/>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396" t="str">
        <f ca="1">OFFSET(L!$C$1,MATCH("Declaration"&amp;ADDRESS(ROW(),COLUMN(),4)&amp;LEFT($D$9,1),L!$A:$A,0)-1,SL,,)</f>
        <v>Description of Scope:</v>
      </c>
      <c r="C10" s="132"/>
      <c r="D10" s="391" t="s">
        <v>14061</v>
      </c>
      <c r="E10" s="392"/>
      <c r="F10" s="392"/>
      <c r="G10" s="392"/>
      <c r="H10" s="392"/>
      <c r="I10" s="392"/>
      <c r="J10" s="393"/>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397"/>
      <c r="C11" s="132"/>
      <c r="D11" s="398" t="str">
        <f ca="1">IF(D9=Q9,OFFSET(L!$C$1,MATCH("Declaration"&amp;ADDRESS(ROW(),COLUMN(),4),L!$A:$A,0)-1,SL,,),"")</f>
        <v/>
      </c>
      <c r="E11" s="399"/>
      <c r="F11" s="399"/>
      <c r="G11" s="399"/>
      <c r="H11" s="399"/>
      <c r="I11" s="399"/>
      <c r="J11" s="400"/>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378" t="s">
        <v>14062</v>
      </c>
      <c r="E12" s="376"/>
      <c r="F12" s="376"/>
      <c r="G12" s="376"/>
      <c r="H12" s="376"/>
      <c r="I12" s="376"/>
      <c r="J12" s="377"/>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378" t="s">
        <v>14063</v>
      </c>
      <c r="E13" s="376"/>
      <c r="F13" s="376"/>
      <c r="G13" s="376"/>
      <c r="H13" s="376"/>
      <c r="I13" s="376"/>
      <c r="J13" s="377"/>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378" t="s">
        <v>14064</v>
      </c>
      <c r="E14" s="376"/>
      <c r="F14" s="376"/>
      <c r="G14" s="376"/>
      <c r="H14" s="376"/>
      <c r="I14" s="376"/>
      <c r="J14" s="377"/>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378" t="s">
        <v>14065</v>
      </c>
      <c r="E15" s="376"/>
      <c r="F15" s="376"/>
      <c r="G15" s="376"/>
      <c r="H15" s="376"/>
      <c r="I15" s="376"/>
      <c r="J15" s="377"/>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375" t="s">
        <v>14066</v>
      </c>
      <c r="E16" s="376"/>
      <c r="F16" s="376"/>
      <c r="G16" s="376"/>
      <c r="H16" s="376"/>
      <c r="I16" s="376"/>
      <c r="J16" s="377"/>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378" t="s">
        <v>14067</v>
      </c>
      <c r="E17" s="376"/>
      <c r="F17" s="376"/>
      <c r="G17" s="376"/>
      <c r="H17" s="376"/>
      <c r="I17" s="376"/>
      <c r="J17" s="377"/>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378" t="s">
        <v>14068</v>
      </c>
      <c r="E18" s="376"/>
      <c r="F18" s="376"/>
      <c r="G18" s="376"/>
      <c r="H18" s="376"/>
      <c r="I18" s="376"/>
      <c r="J18" s="377"/>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378" t="s">
        <v>14069</v>
      </c>
      <c r="E19" s="376"/>
      <c r="F19" s="376"/>
      <c r="G19" s="376"/>
      <c r="H19" s="376"/>
      <c r="I19" s="376"/>
      <c r="J19" s="377"/>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375" t="s">
        <v>14070</v>
      </c>
      <c r="E20" s="376"/>
      <c r="F20" s="376"/>
      <c r="G20" s="376"/>
      <c r="H20" s="376"/>
      <c r="I20" s="376"/>
      <c r="J20" s="377"/>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378" t="s">
        <v>14071</v>
      </c>
      <c r="E21" s="376"/>
      <c r="F21" s="376"/>
      <c r="G21" s="376"/>
      <c r="H21" s="376"/>
      <c r="I21" s="376"/>
      <c r="J21" s="377"/>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413">
        <v>44172</v>
      </c>
      <c r="E22" s="414"/>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409"/>
      <c r="E23" s="409"/>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361" t="str">
        <f ca="1">OFFSET(L!$C$1,MATCH("Declaration"&amp;ADDRESS(ROW(),COLUMN(),4),L!$A:$A,0)-1,SL,,)</f>
        <v>Answer the following questions 1 - 6 based on the declaration scope indicated above</v>
      </c>
      <c r="C24" s="361"/>
      <c r="D24" s="361"/>
      <c r="E24" s="361"/>
      <c r="F24" s="361"/>
      <c r="G24" s="361"/>
      <c r="H24" s="361"/>
      <c r="I24" s="361"/>
      <c r="J24" s="361"/>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406" t="str">
        <f ca="1">OFFSET(L!$C$1,MATCH("Declaration"&amp;ADDRESS(ROW(),COLUMN(),4),L!$A:$A,0)-1,SL,,)</f>
        <v>Answer</v>
      </c>
      <c r="E25" s="406"/>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73" t="s">
        <v>371</v>
      </c>
      <c r="E26" s="374"/>
      <c r="F26" s="10"/>
      <c r="G26" s="362"/>
      <c r="H26" s="363"/>
      <c r="I26" s="363"/>
      <c r="J26" s="364"/>
      <c r="K26" s="35"/>
      <c r="L26" s="123"/>
      <c r="M26" s="113"/>
      <c r="N26" s="111"/>
      <c r="O26" s="112"/>
      <c r="P26" s="125" t="str">
        <f>IF(OR(D$26="No",D$26="Unknown"),"","(*)")</f>
        <v>(*)</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7" t="s">
        <v>372</v>
      </c>
      <c r="E27" s="368"/>
      <c r="F27" s="10"/>
      <c r="G27" s="362"/>
      <c r="H27" s="363"/>
      <c r="I27" s="363"/>
      <c r="J27" s="364"/>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7" t="s">
        <v>372</v>
      </c>
      <c r="E28" s="368"/>
      <c r="F28" s="10"/>
      <c r="G28" s="362"/>
      <c r="H28" s="363"/>
      <c r="I28" s="363"/>
      <c r="J28" s="364"/>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7" t="s">
        <v>372</v>
      </c>
      <c r="E29" s="368"/>
      <c r="F29" s="10"/>
      <c r="G29" s="362"/>
      <c r="H29" s="363"/>
      <c r="I29" s="363"/>
      <c r="J29" s="364"/>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2) Do any of the smelters in your supply chain source the cobalt from a Conflict-Affected and High-Risk area? (OECD Due Diligence Guidance, see definitions tab) (*)</v>
      </c>
      <c r="C31" s="8"/>
      <c r="D31" s="380" t="str">
        <f ca="1">D25</f>
        <v>Answer</v>
      </c>
      <c r="E31" s="380"/>
      <c r="F31" s="16"/>
      <c r="G31" s="43" t="str">
        <f ca="1">G25</f>
        <v>Comments</v>
      </c>
      <c r="H31" s="408"/>
      <c r="I31" s="408"/>
      <c r="J31" s="408"/>
      <c r="K31" s="35"/>
      <c r="L31" s="117" t="s">
        <v>692</v>
      </c>
      <c r="M31" s="111"/>
      <c r="N31" s="111"/>
      <c r="O31" s="112"/>
      <c r="P31" s="44">
        <f>COUNTIF(D$26:D$29,"No")</f>
        <v>3</v>
      </c>
      <c r="Q31" s="44" t="str">
        <f>IF(OR(D$26="No",D$26="Unknown"),"","(*)")</f>
        <v>(*)</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73" t="s">
        <v>372</v>
      </c>
      <c r="E32" s="374"/>
      <c r="F32" s="46"/>
      <c r="G32" s="362"/>
      <c r="H32" s="363"/>
      <c r="I32" s="363"/>
      <c r="J32" s="364"/>
      <c r="K32" s="35"/>
      <c r="L32" s="123"/>
      <c r="M32" s="113"/>
      <c r="N32" s="111"/>
      <c r="O32" s="112"/>
      <c r="P32" s="125" t="str">
        <f>IF(OR(D$26="No",D$26="Unknown"),"","(*)")</f>
        <v>(*)</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7"/>
      <c r="E33" s="368"/>
      <c r="F33" s="46"/>
      <c r="G33" s="362"/>
      <c r="H33" s="363"/>
      <c r="I33" s="363"/>
      <c r="J33" s="364"/>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73"/>
      <c r="E34" s="374"/>
      <c r="F34" s="46"/>
      <c r="G34" s="362"/>
      <c r="H34" s="363"/>
      <c r="I34" s="363"/>
      <c r="J34" s="364"/>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73"/>
      <c r="E35" s="374"/>
      <c r="F35" s="46"/>
      <c r="G35" s="362"/>
      <c r="H35" s="363"/>
      <c r="I35" s="363"/>
      <c r="J35" s="364"/>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3) Does 100 percent of the cobalt originate from recycled or scrap sources? (*)</v>
      </c>
      <c r="C37" s="8"/>
      <c r="D37" s="380" t="str">
        <f ca="1">D25</f>
        <v>Answer</v>
      </c>
      <c r="E37" s="380"/>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73" t="s">
        <v>372</v>
      </c>
      <c r="E38" s="374"/>
      <c r="F38" s="46"/>
      <c r="G38" s="362"/>
      <c r="H38" s="363"/>
      <c r="I38" s="363"/>
      <c r="J38" s="364"/>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7"/>
      <c r="E39" s="368"/>
      <c r="F39" s="46"/>
      <c r="G39" s="362"/>
      <c r="H39" s="363"/>
      <c r="I39" s="363"/>
      <c r="J39" s="364"/>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7"/>
      <c r="E40" s="368"/>
      <c r="F40" s="46"/>
      <c r="G40" s="362"/>
      <c r="H40" s="363"/>
      <c r="I40" s="363"/>
      <c r="J40" s="364"/>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7"/>
      <c r="E41" s="368"/>
      <c r="F41" s="46"/>
      <c r="G41" s="362"/>
      <c r="H41" s="363"/>
      <c r="I41" s="363"/>
      <c r="J41" s="364"/>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80" t="str">
        <f ca="1">D25</f>
        <v>Answer</v>
      </c>
      <c r="E43" s="380"/>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371">
        <v>1</v>
      </c>
      <c r="E44" s="372"/>
      <c r="F44" s="46"/>
      <c r="G44" s="362"/>
      <c r="H44" s="363"/>
      <c r="I44" s="363"/>
      <c r="J44" s="364"/>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69"/>
      <c r="E45" s="370"/>
      <c r="F45" s="46"/>
      <c r="G45" s="362"/>
      <c r="H45" s="363"/>
      <c r="I45" s="363"/>
      <c r="J45" s="364"/>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69"/>
      <c r="E46" s="370"/>
      <c r="F46" s="46"/>
      <c r="G46" s="362"/>
      <c r="H46" s="363"/>
      <c r="I46" s="363"/>
      <c r="J46" s="364"/>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69"/>
      <c r="E47" s="370"/>
      <c r="F47" s="46"/>
      <c r="G47" s="362"/>
      <c r="H47" s="363"/>
      <c r="I47" s="363"/>
      <c r="J47" s="364"/>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5) Have you identified all of the smelters supplying the cobalt to your supply chain? (*)</v>
      </c>
      <c r="C49" s="8"/>
      <c r="D49" s="380" t="str">
        <f ca="1">D25</f>
        <v>Answer</v>
      </c>
      <c r="E49" s="380"/>
      <c r="F49" s="16"/>
      <c r="G49" s="43" t="str">
        <f ca="1">G25</f>
        <v>Comments</v>
      </c>
      <c r="H49" s="379"/>
      <c r="I49" s="379"/>
      <c r="J49" s="379"/>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401" t="s">
        <v>371</v>
      </c>
      <c r="E50" s="402"/>
      <c r="F50" s="46"/>
      <c r="G50" s="362"/>
      <c r="H50" s="363"/>
      <c r="I50" s="363"/>
      <c r="J50" s="364"/>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7"/>
      <c r="E51" s="368"/>
      <c r="F51" s="46"/>
      <c r="G51" s="362"/>
      <c r="H51" s="363"/>
      <c r="I51" s="363"/>
      <c r="J51" s="364"/>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7"/>
      <c r="E52" s="368"/>
      <c r="F52" s="46"/>
      <c r="G52" s="362"/>
      <c r="H52" s="363"/>
      <c r="I52" s="363"/>
      <c r="J52" s="364"/>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7"/>
      <c r="E53" s="368"/>
      <c r="F53" s="46"/>
      <c r="G53" s="362"/>
      <c r="H53" s="363"/>
      <c r="I53" s="363"/>
      <c r="J53" s="364"/>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6) Has all applicable smelter information received by your company been reported in this declaration? (*)</v>
      </c>
      <c r="C55" s="8"/>
      <c r="D55" s="380" t="str">
        <f ca="1">D25</f>
        <v>Answer</v>
      </c>
      <c r="E55" s="380"/>
      <c r="F55" s="16"/>
      <c r="G55" s="43" t="str">
        <f ca="1">G25</f>
        <v>Comments</v>
      </c>
      <c r="H55" s="379" t="str">
        <f>IF(Q63="(*)","Click here to enter smelter names","")</f>
        <v/>
      </c>
      <c r="I55" s="379"/>
      <c r="J55" s="379"/>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73" t="s">
        <v>371</v>
      </c>
      <c r="E56" s="374"/>
      <c r="F56" s="47"/>
      <c r="G56" s="362"/>
      <c r="H56" s="363"/>
      <c r="I56" s="363"/>
      <c r="J56" s="364"/>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7"/>
      <c r="E57" s="368"/>
      <c r="F57" s="47"/>
      <c r="G57" s="362"/>
      <c r="H57" s="363"/>
      <c r="I57" s="363"/>
      <c r="J57" s="364"/>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7"/>
      <c r="E58" s="368"/>
      <c r="F58" s="47"/>
      <c r="G58" s="362"/>
      <c r="H58" s="363"/>
      <c r="I58" s="363"/>
      <c r="J58" s="364"/>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7"/>
      <c r="E59" s="368"/>
      <c r="F59" s="49"/>
      <c r="G59" s="362"/>
      <c r="H59" s="363"/>
      <c r="I59" s="363"/>
      <c r="J59" s="364"/>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418" t="str">
        <f ca="1">OFFSET(L!$C$1,MATCH("Declaration"&amp;ADDRESS(ROW(),COLUMN(),4),L!$A:$A,0)-1,SL,,)</f>
        <v>Answer the Following Questions at a Company Level</v>
      </c>
      <c r="C61" s="418"/>
      <c r="D61" s="418"/>
      <c r="E61" s="418"/>
      <c r="F61" s="418"/>
      <c r="G61" s="418"/>
      <c r="H61" s="418"/>
      <c r="I61" s="418"/>
      <c r="J61" s="418"/>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406" t="str">
        <f ca="1">D25</f>
        <v>Answer</v>
      </c>
      <c r="E62" s="406"/>
      <c r="F62" s="52"/>
      <c r="G62" s="406" t="str">
        <f ca="1">G25</f>
        <v>Comments</v>
      </c>
      <c r="H62" s="406" t="e">
        <f>HLOOKUP(SL,LT,$O62,0)</f>
        <v>#NAME?</v>
      </c>
      <c r="I62" s="406"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73" t="s">
        <v>372</v>
      </c>
      <c r="E63" s="374"/>
      <c r="F63" s="56"/>
      <c r="G63" s="362"/>
      <c r="H63" s="363"/>
      <c r="I63" s="363"/>
      <c r="J63" s="364"/>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407"/>
      <c r="H64" s="407"/>
      <c r="I64" s="407"/>
      <c r="J64" s="407"/>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B. Does your policy cover, at a minimum, all risks in the OECD Due Diligence Guidance Annex II Model Policy, as well as the worst forms of child labor? (*)</v>
      </c>
      <c r="C65" s="56"/>
      <c r="D65" s="373" t="s">
        <v>371</v>
      </c>
      <c r="E65" s="374"/>
      <c r="F65" s="56"/>
      <c r="G65" s="403"/>
      <c r="H65" s="404"/>
      <c r="I65" s="404"/>
      <c r="J65" s="405"/>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73" t="s">
        <v>371</v>
      </c>
      <c r="E67" s="374"/>
      <c r="F67" s="56"/>
      <c r="G67" s="362"/>
      <c r="H67" s="363"/>
      <c r="I67" s="363"/>
      <c r="J67" s="364"/>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D. Do you require suppliers to exercise due diligence over the cobalt supply chain in accordance with the OECD Due Diligence Guidance? (*)</v>
      </c>
      <c r="C69" s="56"/>
      <c r="D69" s="373" t="s">
        <v>371</v>
      </c>
      <c r="E69" s="374"/>
      <c r="F69" s="56"/>
      <c r="G69" s="362"/>
      <c r="H69" s="363"/>
      <c r="I69" s="363"/>
      <c r="J69" s="364"/>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E. Do you require your direct suppliers to source cobalt from smelters whose due diligence practices have been validated by an independent third party audit program? (*)</v>
      </c>
      <c r="C71" s="56"/>
      <c r="D71" s="373" t="s">
        <v>372</v>
      </c>
      <c r="E71" s="374"/>
      <c r="F71" s="56"/>
      <c r="G71" s="362"/>
      <c r="H71" s="363"/>
      <c r="I71" s="363"/>
      <c r="J71" s="364"/>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F. Do you require suppliers' due diligence practices to cover, at a minimum, all risks in the OECD Due Diligence Guidance Annex II Model Policy, as well as the worst forms of child labor? (*)</v>
      </c>
      <c r="C73" s="56"/>
      <c r="D73" s="419" t="s">
        <v>371</v>
      </c>
      <c r="E73" s="420"/>
      <c r="F73" s="56"/>
      <c r="G73" s="362"/>
      <c r="H73" s="363"/>
      <c r="I73" s="363"/>
      <c r="J73" s="364"/>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407"/>
      <c r="H74" s="407"/>
      <c r="I74" s="407"/>
      <c r="J74" s="407"/>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G. Does your company conduct cobalt supply chain survey(s) of your relevant supplier(s)? (*)</v>
      </c>
      <c r="C75" s="56"/>
      <c r="D75" s="373" t="s">
        <v>12572</v>
      </c>
      <c r="E75" s="374"/>
      <c r="F75" s="56"/>
      <c r="G75" s="362"/>
      <c r="H75" s="363"/>
      <c r="I75" s="363"/>
      <c r="J75" s="364"/>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421"/>
      <c r="H76" s="421"/>
      <c r="I76" s="421"/>
      <c r="J76" s="421"/>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H. Do you review due diligence information received from your suppliers against your company’s expectations? (*)</v>
      </c>
      <c r="C77" s="56"/>
      <c r="D77" s="373" t="s">
        <v>371</v>
      </c>
      <c r="E77" s="374"/>
      <c r="F77" s="56"/>
      <c r="G77" s="362"/>
      <c r="H77" s="363"/>
      <c r="I77" s="363"/>
      <c r="J77" s="364"/>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I. Does your review process include corrective action management? (*)</v>
      </c>
      <c r="C79" s="56"/>
      <c r="D79" s="373" t="s">
        <v>371</v>
      </c>
      <c r="E79" s="374"/>
      <c r="F79" s="56"/>
      <c r="G79" s="362"/>
      <c r="H79" s="363"/>
      <c r="I79" s="363"/>
      <c r="J79" s="364"/>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417" t="str">
        <f>IF(OR($D$8="",$I$3=""),"","Click here to check required fields completion")</f>
        <v/>
      </c>
      <c r="C80" s="417"/>
      <c r="D80" s="417"/>
      <c r="E80" s="417"/>
      <c r="F80" s="417"/>
      <c r="G80" s="417"/>
      <c r="H80" s="417"/>
      <c r="I80" s="417"/>
      <c r="J80" s="417"/>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415" t="str">
        <f ca="1">OFFSET(L!$C$1,MATCH("General"&amp;"Cpy",L!$A:$A,0)-1,SL,,)</f>
        <v>© 2020 Responsible Minerals Initiative. All rights reserved.</v>
      </c>
      <c r="B81" s="416"/>
      <c r="C81" s="416"/>
      <c r="D81" s="416"/>
      <c r="E81" s="416"/>
      <c r="F81" s="416"/>
      <c r="G81" s="416"/>
      <c r="H81" s="416"/>
      <c r="I81" s="416"/>
      <c r="J81" s="416"/>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s>
  <mergeCells count="108">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D33:E33"/>
    <mergeCell ref="D56:E56"/>
    <mergeCell ref="H55:J55"/>
    <mergeCell ref="D55:E55"/>
    <mergeCell ref="D53:E53"/>
    <mergeCell ref="D52:E52"/>
    <mergeCell ref="D51:E51"/>
    <mergeCell ref="G51:J51"/>
    <mergeCell ref="G52:J52"/>
    <mergeCell ref="D50:E50"/>
    <mergeCell ref="G53:J53"/>
    <mergeCell ref="G50:J50"/>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s>
  <phoneticPr fontId="86" type="noConversion"/>
  <conditionalFormatting sqref="D63:E63 D65:E65 D67:E67 D69:E69 D79:E79 D73:E73 D75:E75 D77:E77 D71">
    <cfRule type="expression" dxfId="91" priority="58" stopIfTrue="1">
      <formula>OR($D$26="No",$D$26="Unknown")</formula>
    </cfRule>
    <cfRule type="expression" dxfId="90" priority="59" stopIfTrue="1">
      <formula>IF(D63="",TRUE)</formula>
    </cfRule>
  </conditionalFormatting>
  <conditionalFormatting sqref="D26:E26">
    <cfRule type="expression" dxfId="89" priority="110" stopIfTrue="1">
      <formula>IF($D$26="",TRUE)</formula>
    </cfRule>
  </conditionalFormatting>
  <conditionalFormatting sqref="D27:E27">
    <cfRule type="expression" dxfId="88" priority="117" stopIfTrue="1">
      <formula>IF($D$27="",TRUE)</formula>
    </cfRule>
  </conditionalFormatting>
  <conditionalFormatting sqref="D8:J8">
    <cfRule type="expression" dxfId="87" priority="124" stopIfTrue="1">
      <formula>IF($D$8="",TRUE)</formula>
    </cfRule>
  </conditionalFormatting>
  <conditionalFormatting sqref="D9:G9">
    <cfRule type="expression" dxfId="86" priority="125" stopIfTrue="1">
      <formula>IF($D$9="",TRUE)</formula>
    </cfRule>
  </conditionalFormatting>
  <conditionalFormatting sqref="D15:J15">
    <cfRule type="expression" dxfId="85" priority="126" stopIfTrue="1">
      <formula>IF($D$15="",TRUE)</formula>
    </cfRule>
  </conditionalFormatting>
  <conditionalFormatting sqref="D16:J16">
    <cfRule type="expression" dxfId="84" priority="127" stopIfTrue="1">
      <formula>IF($D$16="",TRUE)</formula>
    </cfRule>
  </conditionalFormatting>
  <conditionalFormatting sqref="D17:J17">
    <cfRule type="expression" dxfId="83" priority="128" stopIfTrue="1">
      <formula>IF($D$17="",TRUE)</formula>
    </cfRule>
  </conditionalFormatting>
  <conditionalFormatting sqref="D18:J18">
    <cfRule type="expression" dxfId="82" priority="129" stopIfTrue="1">
      <formula>IF($D$18="",TRUE)</formula>
    </cfRule>
  </conditionalFormatting>
  <conditionalFormatting sqref="D22:E22">
    <cfRule type="expression" dxfId="81" priority="132" stopIfTrue="1">
      <formula>IF($D$22="",TRUE)</formula>
    </cfRule>
  </conditionalFormatting>
  <conditionalFormatting sqref="D10:J10">
    <cfRule type="expression" dxfId="80" priority="29" stopIfTrue="1">
      <formula>IF($D$9=$Q$9,TRUE)</formula>
    </cfRule>
    <cfRule type="expression" dxfId="79" priority="139" stopIfTrue="1">
      <formula>IF(AND($D$10="",$D$9=$R$9),TRUE)</formula>
    </cfRule>
  </conditionalFormatting>
  <conditionalFormatting sqref="D34:E34 D40:E40 D46:E46 D52:E52 D58:E58">
    <cfRule type="expression" dxfId="78" priority="22" stopIfTrue="1">
      <formula>$P$28=""</formula>
    </cfRule>
  </conditionalFormatting>
  <conditionalFormatting sqref="D35:E35 D41:E41 D47:E47 D53:E53 D59:E59">
    <cfRule type="expression" dxfId="77" priority="137" stopIfTrue="1">
      <formula>$P$29=""</formula>
    </cfRule>
  </conditionalFormatting>
  <conditionalFormatting sqref="D34 D40 D46 D52 D58">
    <cfRule type="expression" dxfId="76" priority="135" stopIfTrue="1">
      <formula>IF(AND(OR($D$28="Yes",$D$28=""),D34=""),1,0)</formula>
    </cfRule>
  </conditionalFormatting>
  <conditionalFormatting sqref="D32:E32 D38:E38 D44:E44 D50:E50 D56:E56">
    <cfRule type="expression" dxfId="75" priority="26" stopIfTrue="1">
      <formula>IF(AND(OR($D$26="No",$D$26="Unknown"),D32=""),1,0)</formula>
    </cfRule>
    <cfRule type="expression" dxfId="74" priority="27" stopIfTrue="1">
      <formula>IF(AND(OR($D$26="Yes",$D$26=""),D32=""),1,0)</formula>
    </cfRule>
  </conditionalFormatting>
  <conditionalFormatting sqref="G73:J73">
    <cfRule type="expression" dxfId="73" priority="20" stopIfTrue="1">
      <formula>IF(AND($D$73="Yes, using other format (describe)",$G$73=""),TRUE)</formula>
    </cfRule>
  </conditionalFormatting>
  <conditionalFormatting sqref="D33:E33 D39:E39 D45:E45 D51:E51 D57:E57">
    <cfRule type="expression" dxfId="72" priority="133" stopIfTrue="1">
      <formula>$P$33=""</formula>
    </cfRule>
    <cfRule type="expression" dxfId="71" priority="134" stopIfTrue="1">
      <formula>IF(AND(OR($D$27="Yes",$D$27=""),D33=""),1,0)</formula>
    </cfRule>
  </conditionalFormatting>
  <conditionalFormatting sqref="D35:E35 D41:E41 D47:E47 D53:E53 D59:E59">
    <cfRule type="expression" dxfId="70" priority="138" stopIfTrue="1">
      <formula>IF(AND(OR($D$29="Yes",$D$29=""),D35=""),1,0)</formula>
    </cfRule>
  </conditionalFormatting>
  <conditionalFormatting sqref="D20:J20">
    <cfRule type="expression" dxfId="69" priority="8" stopIfTrue="1">
      <formula>IF($D$20="",TRUE)</formula>
    </cfRule>
  </conditionalFormatting>
  <conditionalFormatting sqref="D27 D33 D39 D45 D51 D57">
    <cfRule type="expression" dxfId="68" priority="7" stopIfTrue="1">
      <formula>IF($D$27="No",TRUE)</formula>
    </cfRule>
  </conditionalFormatting>
  <conditionalFormatting sqref="D28 D34 D40 D46 D52 D58">
    <cfRule type="expression" dxfId="67" priority="6">
      <formula>IF($D$28="No",TRUE)</formula>
    </cfRule>
  </conditionalFormatting>
  <conditionalFormatting sqref="D29 D35 D41 D47 D53 D59">
    <cfRule type="expression" dxfId="66" priority="5">
      <formula>IF($D$29="No",TRUE)</formula>
    </cfRule>
  </conditionalFormatting>
  <conditionalFormatting sqref="G63:J63">
    <cfRule type="expression" dxfId="65" priority="2">
      <formula>IF(AND($D$63="Yes",$G$63=""),TRUE)</formula>
    </cfRule>
  </conditionalFormatting>
  <conditionalFormatting sqref="G75:J75">
    <cfRule type="expression" dxfId="64" priority="1">
      <formula>IF(AND($D$75="Yes, using other format (describe)",$G$75=""),TRUE)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 ref="D16" r:id="rId1"/>
    <hyperlink ref="D20" r:id="rId2"/>
  </hyperlinks>
  <pageMargins left="0.70866141732283505" right="0.70866141732283505" top="0.74803149606299202" bottom="0.74803149606299202" header="0.31496062992126" footer="0.31496062992126"/>
  <pageSetup scale="44" fitToHeight="0" orientation="portrait" r:id="rId3"/>
  <rowBreaks count="2" manualBreakCount="2">
    <brk id="52" max="11" man="1"/>
    <brk id="54"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C6" sqref="C6"/>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22"/>
      <c r="K2" s="423"/>
      <c r="L2" s="423"/>
      <c r="M2" s="423"/>
      <c r="N2" s="423"/>
      <c r="O2" s="423"/>
      <c r="P2" s="209"/>
      <c r="Q2" s="210"/>
      <c r="R2" s="211"/>
      <c r="S2" s="211"/>
      <c r="T2" s="211"/>
      <c r="U2" s="165"/>
      <c r="V2" s="165"/>
      <c r="W2" s="166"/>
      <c r="X2" s="165"/>
      <c r="Y2" s="165"/>
      <c r="Z2" s="165"/>
      <c r="AH2" s="153" t="s">
        <v>371</v>
      </c>
    </row>
    <row r="3" spans="1:34" s="20" customFormat="1" ht="241.15" customHeight="1">
      <c r="A3" s="280"/>
      <c r="B3" s="424"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4"/>
      <c r="D3" s="424"/>
      <c r="E3" s="424"/>
      <c r="F3" s="212"/>
      <c r="G3" s="425" t="str">
        <f ca="1">OFFSET(L!$C$1,MATCH("General"&amp;"Cpy",L!$A:$A,0)-1,SL,,)</f>
        <v>© 2020 Responsible Minerals Initiative. All rights reserved.</v>
      </c>
      <c r="H3" s="425"/>
      <c r="I3" s="426"/>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
        <v>11650</v>
      </c>
      <c r="C5" s="197" t="s">
        <v>12509</v>
      </c>
      <c r="D5" s="191"/>
      <c r="E5" s="191" t="str">
        <f ca="1">IF(ISERROR($V5),"",OFFSET('Smelter Look-up'!$D$4,$V5-4,0)&amp;"")</f>
        <v>CHINA</v>
      </c>
      <c r="F5" s="191" t="str">
        <f ca="1">IF(ISERROR($V5),"",OFFSET('Smelter Look-up'!$E$4,$V5-4,0))</f>
        <v>CID003384</v>
      </c>
      <c r="G5" s="191" t="str">
        <f ca="1">IF(C5=$X$4,"Enter smelter details",IF(ISERROR($V5),"",OFFSET('Smelter Look-up'!$F$4,$V5-4,0)))</f>
        <v>RMI</v>
      </c>
      <c r="H5" s="192">
        <f ca="1">IF(ISERROR($V5),"",OFFSET('Smelter Look-up'!$G$4,$V5-4,0))</f>
        <v>0</v>
      </c>
      <c r="I5" s="193" t="str">
        <f ca="1">IF(ISERROR($V5),"",OFFSET('Smelter Look-up'!$H$4,$V5-4,0))</f>
        <v>Ganzhou</v>
      </c>
      <c r="J5" s="193" t="str">
        <f ca="1">IF(ISERROR($V5),"",OFFSET('Smelter Look-up'!$I$4,$V5-4,0))</f>
        <v>Jiangxi Sheng</v>
      </c>
      <c r="K5" s="195"/>
      <c r="L5" s="195"/>
      <c r="M5" s="195"/>
      <c r="N5" s="195"/>
      <c r="O5" s="195"/>
      <c r="P5" s="194"/>
      <c r="Q5" s="196"/>
      <c r="R5" s="191" t="str">
        <f ca="1">IF(ISERROR($V5),"",OFFSET('Smelter Look-up'!$C$4,$V5-4,0)&amp;"")</f>
        <v>Ganzhou Highpower Technology Co., Ltd.</v>
      </c>
      <c r="S5" s="200" t="str">
        <f t="shared" ref="S5:S64" ca="1" si="0">IF(B5="","",IF(ISERROR(MATCH($E5,CL,0)),"Unknown",INDIRECT("'C'!$A$"&amp;MATCH($E5,CL,0)+1)))</f>
        <v>CN</v>
      </c>
      <c r="T5" s="200" t="str">
        <f ca="1">IF(B5="","",IF(ISERROR(MATCH($J5,SorP!$B$1:$B$6230,0)),"",INDIRECT("'SorP'!$A$"&amp;MATCH($J5,SorP!$B$1:$B$6230,0))))</f>
        <v>CN-JX</v>
      </c>
      <c r="U5" s="217"/>
      <c r="V5" s="218">
        <f>IF(C5="",NA(),MATCH($B5&amp;$C5,'Smelter Look-up'!$J:$J,0))</f>
        <v>17</v>
      </c>
      <c r="W5" s="219"/>
      <c r="X5" s="219">
        <f t="shared" ref="X5:X63" ca="1" si="1">IF(AND(C5="Smelter not listed",OR(LEN(D5)=0,LEN(E5)=0)),1,0)</f>
        <v>0</v>
      </c>
      <c r="Y5" s="219"/>
      <c r="Z5" s="219"/>
      <c r="AB5" s="220" t="str">
        <f t="shared" ref="AB5:AB63" si="2">B5&amp;C5</f>
        <v>CobaltGanzhou Highpower Technology Co., Ltd.</v>
      </c>
    </row>
    <row r="6" spans="1:34" s="220" customFormat="1" ht="20.25">
      <c r="A6" s="276"/>
      <c r="B6" s="191" t="s">
        <v>11650</v>
      </c>
      <c r="C6" s="197" t="s">
        <v>12008</v>
      </c>
      <c r="D6" s="191"/>
      <c r="E6" s="191" t="str">
        <f ca="1">IF(ISERROR($V6),"",OFFSET('Smelter Look-up'!$D$4,$V6-4,0)&amp;"")</f>
        <v>BELGIUM</v>
      </c>
      <c r="F6" s="191" t="str">
        <f ca="1">IF(ISERROR($V6),"",OFFSET('Smelter Look-up'!$E$4,$V6-4,0))</f>
        <v>CID003228</v>
      </c>
      <c r="G6" s="191" t="str">
        <f ca="1">IF(C6=$X$4,"Enter smelter details",IF(ISERROR($V6),"",OFFSET('Smelter Look-up'!$F$4,$V6-4,0)))</f>
        <v>RMI</v>
      </c>
      <c r="H6" s="192">
        <f ca="1">IF(ISERROR($V6),"",OFFSET('Smelter Look-up'!$G$4,$V6-4,0))</f>
        <v>0</v>
      </c>
      <c r="I6" s="193" t="str">
        <f ca="1">IF(ISERROR($V6),"",OFFSET('Smelter Look-up'!$H$4,$V6-4,0))</f>
        <v>Olen</v>
      </c>
      <c r="J6" s="193" t="str">
        <f ca="1">IF(ISERROR($V6),"",OFFSET('Smelter Look-up'!$I$4,$V6-4,0))</f>
        <v>Antwerpen</v>
      </c>
      <c r="K6" s="195"/>
      <c r="L6" s="195"/>
      <c r="M6" s="195"/>
      <c r="N6" s="195"/>
      <c r="O6" s="195"/>
      <c r="P6" s="194"/>
      <c r="Q6" s="196"/>
      <c r="R6" s="191" t="str">
        <f ca="1">IF(ISERROR($V6),"",OFFSET('Smelter Look-up'!$C$4,$V6-4,0)&amp;"")</f>
        <v>Umicore Olen</v>
      </c>
      <c r="S6" s="200" t="str">
        <f t="shared" ca="1" si="0"/>
        <v>BE</v>
      </c>
      <c r="T6" s="200" t="str">
        <f ca="1">IF(B6="","",IF(ISERROR(MATCH($J6,SorP!$B$1:$B$6230,0)),"",INDIRECT("'SorP'!$A$"&amp;MATCH($J6,SorP!$B$1:$B$6230,0))))</f>
        <v>BE-VAN</v>
      </c>
      <c r="U6" s="217"/>
      <c r="V6" s="218">
        <f>IF(C6="",NA(),MATCH($B6&amp;$C6,'Smelter Look-up'!$J:$J,0))</f>
        <v>85</v>
      </c>
      <c r="W6" s="219"/>
      <c r="X6" s="219">
        <f t="shared" ca="1" si="1"/>
        <v>0</v>
      </c>
      <c r="Y6" s="219"/>
      <c r="Z6" s="219"/>
      <c r="AB6" s="220" t="str">
        <f t="shared" si="2"/>
        <v>CobaltUmicore Olen</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8">
    <cfRule type="expression" dxfId="63" priority="20" stopIfTrue="1">
      <formula>IF(B5="",TRUE)</formula>
    </cfRule>
  </conditionalFormatting>
  <conditionalFormatting sqref="D5:D2498">
    <cfRule type="expression" dxfId="62" priority="14" stopIfTrue="1">
      <formula>IF(AND(LEN($C5) &gt;0, ($C5 &lt;&gt; "Smelter Not Listed")),1,0)</formula>
    </cfRule>
    <cfRule type="expression" dxfId="61" priority="39" stopIfTrue="1">
      <formula>IF(AND(D5="",$C5=$X$4),TRUE)</formula>
    </cfRule>
    <cfRule type="expression" dxfId="60" priority="40" stopIfTrue="1">
      <formula>IF(FIND("!",D5),TRUE)</formula>
    </cfRule>
  </conditionalFormatting>
  <conditionalFormatting sqref="G5:G2498">
    <cfRule type="expression" dxfId="59" priority="41" stopIfTrue="1">
      <formula>IF(FIND("Enter smelter details",G5),TRUE)</formula>
    </cfRule>
  </conditionalFormatting>
  <conditionalFormatting sqref="R5:R2498 E5:E2498">
    <cfRule type="expression" dxfId="58" priority="27" stopIfTrue="1">
      <formula>IF(AND(E5="",$C5=$X$4),TRUE)</formula>
    </cfRule>
    <cfRule type="expression" dxfId="57" priority="28" stopIfTrue="1">
      <formula>IF(FIND("!",E5),TRUE)</formula>
    </cfRule>
  </conditionalFormatting>
  <conditionalFormatting sqref="F5:F2498">
    <cfRule type="expression" dxfId="56" priority="18" stopIfTrue="1">
      <formula>IF(AND(LEN($A5)&gt;0,$A5&lt;&gt;$F5),TRUE,FALSE)</formula>
    </cfRule>
  </conditionalFormatting>
  <conditionalFormatting sqref="C5:C2500">
    <cfRule type="expression" dxfId="55" priority="17" stopIfTrue="1">
      <formula>IF(AND(#REF!&lt;&gt;"",C5=""),TRUE)</formula>
    </cfRule>
  </conditionalFormatting>
  <conditionalFormatting sqref="A53">
    <cfRule type="expression" priority="10">
      <formula>$A$5:$Q1996&lt;&gt;""</formula>
    </cfRule>
  </conditionalFormatting>
  <conditionalFormatting sqref="B2499:B2500">
    <cfRule type="expression" dxfId="54" priority="4" stopIfTrue="1">
      <formula>IF(B2499="",TRUE)</formula>
    </cfRule>
  </conditionalFormatting>
  <conditionalFormatting sqref="D2499:D2500">
    <cfRule type="expression" dxfId="53" priority="1" stopIfTrue="1">
      <formula>IF(AND(LEN($C2499) &gt;0, ($C2499 &lt;&gt; "Smelter Not Listed")),1,0)</formula>
    </cfRule>
    <cfRule type="expression" dxfId="52" priority="7" stopIfTrue="1">
      <formula>IF(AND(D2499="",$C2499=$X$4),TRUE)</formula>
    </cfRule>
    <cfRule type="expression" dxfId="51" priority="8" stopIfTrue="1">
      <formula>IF(FIND("!",D2499),TRUE)</formula>
    </cfRule>
  </conditionalFormatting>
  <conditionalFormatting sqref="G2499:G2500">
    <cfRule type="expression" dxfId="50" priority="9" stopIfTrue="1">
      <formula>IF(FIND("Enter smelter details",G2499),TRUE)</formula>
    </cfRule>
  </conditionalFormatting>
  <conditionalFormatting sqref="R2499:R2500 E2499:E2500">
    <cfRule type="expression" dxfId="49" priority="5" stopIfTrue="1">
      <formula>IF(AND(E2499="",$C2499=$X$4),TRUE)</formula>
    </cfRule>
    <cfRule type="expression" dxfId="48" priority="6" stopIfTrue="1">
      <formula>IF(FIND("!",E2499),TRUE)</formula>
    </cfRule>
  </conditionalFormatting>
  <conditionalFormatting sqref="F2499:F2500">
    <cfRule type="expression" dxfId="47"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7" t="str">
        <f ca="1">OFFSET(L!$C$1,MATCH("Checker"&amp;ADDRESS(ROW(),COLUMN(),4),L!$A:$A,0)-1,SL,,)</f>
        <v>To ensure all required fields have been populated before submitting to your customers review form for any line items highlighted in red</v>
      </c>
      <c r="B1" s="427"/>
      <c r="C1" s="427"/>
      <c r="D1" s="127" t="str">
        <f ca="1">OFFSET(L!$C$1,MATCH("Checker"&amp;ADDRESS(ROW(),COLUMN(),4),L!$A:$A,0)-1,SL,,)</f>
        <v>Required fields remaining to be completed</v>
      </c>
      <c r="E1" s="74" t="s">
        <v>439</v>
      </c>
    </row>
    <row r="2" spans="1:10" ht="15">
      <c r="A2" s="67" t="s">
        <v>484</v>
      </c>
      <c r="B2" s="68" t="str">
        <f>IF(F57=1,"Click here to return to Smelter List","")</f>
        <v>Click here to return to Smelter List</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Electro-Spec Inc.</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t="str">
        <f>Declaration!D10</f>
        <v>Plating of ferrous and non-ferrous metals, passivation, degreasing, and heat treating</v>
      </c>
      <c r="C6" s="90" t="str">
        <f t="shared" ca="1" si="0"/>
        <v>Complete</v>
      </c>
      <c r="D6" s="96" t="str">
        <f>IF(H6=1,"Click here to provide a Description of Scope","")</f>
        <v/>
      </c>
      <c r="E6" s="74" t="s">
        <v>744</v>
      </c>
      <c r="F6" s="95">
        <f>IF(OR(B5=Declaration!P9,B5=Declaration!Q9,B5=0),0,1)</f>
        <v>0</v>
      </c>
      <c r="G6" s="71">
        <f t="shared" si="1"/>
        <v>0</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Jeff Smith</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jsmith@electro-spec.com</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317-738-9199</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James Sanders</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jsanders@electro-spec.com</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317-739-0921</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44172</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Yes</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51">
      <c r="A20" s="91" t="str">
        <f ca="1">Declaration!B32</f>
        <v>Cobalt(*)</v>
      </c>
      <c r="B20" s="90" t="str">
        <f>Declaration!D32</f>
        <v>No</v>
      </c>
      <c r="C20" s="161" t="str">
        <f t="shared" ca="1" si="3"/>
        <v>Complete</v>
      </c>
      <c r="D20" s="96" t="str">
        <f>IF(H20=1,"Click here to answer question 2 for Cobalt","")</f>
        <v/>
      </c>
      <c r="E20" s="74" t="s">
        <v>440</v>
      </c>
      <c r="F20" s="95">
        <f>IF(OR(B$15="No",B$15="Unknown"),0,1)</f>
        <v>1</v>
      </c>
      <c r="G20" s="71">
        <f t="shared" ref="G20:G55" si="5">IF(B20=0,1,0)</f>
        <v>0</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3) Does 100 percent of the cobalt originate from recycled or scrap sources? (*)</v>
      </c>
      <c r="B24" s="93"/>
      <c r="C24" s="93"/>
      <c r="D24" s="97"/>
      <c r="E24" s="74" t="s">
        <v>744</v>
      </c>
      <c r="F24" s="94"/>
      <c r="G24" s="19"/>
      <c r="H24" s="19"/>
      <c r="J24" s="157"/>
    </row>
    <row r="25" spans="1:10" ht="39">
      <c r="A25" s="91" t="str">
        <f ca="1">Declaration!B38</f>
        <v>Cobalt(*)</v>
      </c>
      <c r="B25" s="90" t="str">
        <f>Declaration!D38</f>
        <v>No</v>
      </c>
      <c r="C25" s="161" t="str">
        <f ca="1">IF(H25=1,J25,I25)</f>
        <v>Complete</v>
      </c>
      <c r="D25" s="96" t="str">
        <f>IF(H25=1,"Click here to answer question 3 for Cobalt","")</f>
        <v/>
      </c>
      <c r="E25" s="74" t="s">
        <v>744</v>
      </c>
      <c r="F25" s="95">
        <f>F20</f>
        <v>1</v>
      </c>
      <c r="G25" s="71">
        <f>IF(B25=0,1,0)</f>
        <v>0</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1</v>
      </c>
      <c r="C30" s="161" t="str">
        <f t="shared" ca="1" si="3"/>
        <v>Complete</v>
      </c>
      <c r="D30" s="98" t="str">
        <f>IF(H30=1,"Click here to answer question 4 for Cobalt","")</f>
        <v/>
      </c>
      <c r="E30" s="74" t="s">
        <v>439</v>
      </c>
      <c r="F30" s="95">
        <f>F20</f>
        <v>1</v>
      </c>
      <c r="G30" s="71">
        <f t="shared" si="5"/>
        <v>0</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5) Have you identified all of the smelters supplying the cobalt to your supply chain? (*)</v>
      </c>
      <c r="B34" s="93"/>
      <c r="C34" s="93"/>
      <c r="D34" s="97"/>
      <c r="E34" s="74" t="s">
        <v>441</v>
      </c>
      <c r="F34" s="94"/>
      <c r="G34" s="19"/>
      <c r="H34" s="19"/>
    </row>
    <row r="35" spans="1:10" ht="51.75">
      <c r="A35" s="91" t="str">
        <f ca="1">Declaration!B50</f>
        <v>Cobalt(*)</v>
      </c>
      <c r="B35" s="90" t="str">
        <f>Declaration!D50</f>
        <v>Yes</v>
      </c>
      <c r="C35" s="161" t="str">
        <f t="shared" ca="1" si="3"/>
        <v>Complete</v>
      </c>
      <c r="D35" s="98" t="str">
        <f>IF(H35=1,"Click here to answer question 5 for Cobalt","")</f>
        <v/>
      </c>
      <c r="E35" s="74" t="s">
        <v>743</v>
      </c>
      <c r="F35" s="95">
        <f>F20</f>
        <v>1</v>
      </c>
      <c r="G35" s="71">
        <f t="shared" si="5"/>
        <v>0</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6) Has all applicable smelter information received by your company been reported in this declaration? (*)</v>
      </c>
      <c r="B39" s="93"/>
      <c r="C39" s="93"/>
      <c r="D39" s="97"/>
      <c r="E39" s="74" t="s">
        <v>442</v>
      </c>
      <c r="F39" s="94"/>
      <c r="G39" s="19"/>
      <c r="H39" s="19"/>
    </row>
    <row r="40" spans="1:10" ht="39">
      <c r="A40" s="91" t="str">
        <f ca="1">Declaration!B56</f>
        <v>Cobalt(*)</v>
      </c>
      <c r="B40" s="90" t="str">
        <f>Declaration!D56</f>
        <v>Yes</v>
      </c>
      <c r="C40" s="161" t="str">
        <f t="shared" ca="1" si="3"/>
        <v>Complete</v>
      </c>
      <c r="D40" s="98" t="str">
        <f>IF(H40=1,"Click here to answer question 6 for Cobalt","")</f>
        <v/>
      </c>
      <c r="E40" s="74" t="s">
        <v>440</v>
      </c>
      <c r="F40" s="95">
        <f>F20</f>
        <v>1</v>
      </c>
      <c r="G40" s="71">
        <f t="shared" si="5"/>
        <v>0</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1</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9.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B. Does your policy cover, at a minimum, all risks in the OECD Due Diligence Guidance Annex II Model Policy, as well as the worst forms of child labor? (*)</v>
      </c>
      <c r="B47" s="90" t="str">
        <f>Declaration!D65</f>
        <v>Yes</v>
      </c>
      <c r="C47" s="161" t="str">
        <f ca="1">IF(H47=1,J47,I47)</f>
        <v>Complete</v>
      </c>
      <c r="D47" s="268" t="str">
        <f>IF(H47=1,"Click here to answer question (B)","")</f>
        <v/>
      </c>
      <c r="E47" s="74" t="s">
        <v>744</v>
      </c>
      <c r="F47" s="95">
        <f t="shared" ref="F47:F55" si="7">F$45</f>
        <v>1</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Yes</v>
      </c>
      <c r="C48" s="161" t="str">
        <f ca="1">IF(H48=1,J48,I48)</f>
        <v>Complete</v>
      </c>
      <c r="D48" s="268" t="str">
        <f>IF(H48=1,"Click here to answer question (C)","")</f>
        <v/>
      </c>
      <c r="E48" s="74" t="s">
        <v>744</v>
      </c>
      <c r="F48" s="95">
        <f t="shared" si="7"/>
        <v>1</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51">
      <c r="A49" s="90" t="str">
        <f ca="1">Declaration!B69</f>
        <v>D. Do you require suppliers to exercise due diligence over the cobalt supply chain in accordance with the OECD Due Diligence Guidance? (*)</v>
      </c>
      <c r="B49" s="90" t="str">
        <f>Declaration!D69</f>
        <v>Yes</v>
      </c>
      <c r="C49" s="346" t="str">
        <f t="shared" ca="1" si="3"/>
        <v>Complete</v>
      </c>
      <c r="D49" s="268" t="str">
        <f>IF(H49=1,"Click here to answer question (D)","")</f>
        <v/>
      </c>
      <c r="E49" s="74" t="s">
        <v>744</v>
      </c>
      <c r="F49" s="95">
        <f t="shared" si="7"/>
        <v>1</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1</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F. Do you require suppliers' due diligence practices to cover, at a minimum, all risks in the OECD Due Diligence Guidance Annex II Model Policy, as well as the worst forms of child labor? (*)</v>
      </c>
      <c r="B51" s="90" t="str">
        <f>Declaration!D73</f>
        <v>Yes</v>
      </c>
      <c r="C51" s="346" t="str">
        <f t="shared" ca="1" si="3"/>
        <v>Complete</v>
      </c>
      <c r="D51" s="268" t="str">
        <f>IF(H51=1,"Click here to answer question (F)","")</f>
        <v/>
      </c>
      <c r="E51" s="74" t="s">
        <v>744</v>
      </c>
      <c r="F51" s="95">
        <f t="shared" si="7"/>
        <v>1</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G. Does your company conduct cobalt supply chain survey(s) of your relevant supplier(s)? (*)</v>
      </c>
      <c r="B53" s="90" t="str">
        <f>IF(Declaration!D75="No",Declaration!D75,IF(Declaration!D75="Yes, CRT",Declaration!D75,IF(Declaration!D75="Yes, Using Other Format (Describe)",Declaration!G75,0)))</f>
        <v>Yes, CRT</v>
      </c>
      <c r="C53" s="161" t="str">
        <f t="shared" ca="1" si="3"/>
        <v>Complete</v>
      </c>
      <c r="D53" s="268" t="str">
        <f>IF(H53=1,"Click here to answer question (G)","")</f>
        <v/>
      </c>
      <c r="E53" s="74" t="s">
        <v>744</v>
      </c>
      <c r="F53" s="95">
        <f t="shared" si="7"/>
        <v>1</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H. Do you review due diligence information received from your suppliers against your company’s expectations? (*)</v>
      </c>
      <c r="B54" s="90" t="str">
        <f>Declaration!D77</f>
        <v>Yes</v>
      </c>
      <c r="C54" s="346" t="str">
        <f t="shared" ca="1" si="3"/>
        <v>Complete</v>
      </c>
      <c r="D54" s="268" t="str">
        <f>IF(H54=1,"Click here to answer question (H)","")</f>
        <v/>
      </c>
      <c r="E54" s="74" t="s">
        <v>744</v>
      </c>
      <c r="F54" s="95">
        <f t="shared" si="7"/>
        <v>1</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I. Does your review process include corrective action management? (*)</v>
      </c>
      <c r="B55" s="90" t="str">
        <f>Declaration!D79</f>
        <v>Yes</v>
      </c>
      <c r="C55" s="346" t="str">
        <f ca="1">IF(H55=1,J55,I55)</f>
        <v>Complete</v>
      </c>
      <c r="D55" s="268" t="str">
        <f>IF(H55=1,"Click here to answer question (I)","")</f>
        <v/>
      </c>
      <c r="E55" s="74" t="s">
        <v>744</v>
      </c>
      <c r="F55" s="95">
        <f t="shared" si="7"/>
        <v>1</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One or more product / item numbers have been provided</v>
      </c>
      <c r="C56" s="90" t="str">
        <f ca="1">IF(H56=1,J56,I56)</f>
        <v>Complete</v>
      </c>
      <c r="D56" s="268" t="str">
        <f>IF(H56=1,"Click here to enter detail on Product List tab","")</f>
        <v/>
      </c>
      <c r="E56" s="74" t="s">
        <v>744</v>
      </c>
      <c r="F56" s="95">
        <f>IF(B5=Declaration!Q9,1,0)</f>
        <v>0</v>
      </c>
      <c r="G56" s="71">
        <f>IF('Product List'!B6="",1,0)</f>
        <v>0</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 ca="1">IF(K57=1,L57,IF(B15="No","Not Required",IF(G57=0,I57,J57)))</f>
        <v>Complete</v>
      </c>
      <c r="D57" s="339" t="str">
        <f>IF(H57=0,"","Click here to provide smelter information")</f>
        <v/>
      </c>
      <c r="E57" s="74" t="s">
        <v>744</v>
      </c>
      <c r="F57" s="95">
        <f>F$45</f>
        <v>1</v>
      </c>
      <c r="G57" s="71">
        <f>IF(AND(COUNTIF(SmelterIdetifiedForMetal,"Cobalt")&gt;0,COUNTIF('Smelter List'!AB$5:AB$2500,"Cobalt?*")&gt;0),0,1)</f>
        <v>0</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1</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1</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1</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s>
  <mergeCells count="1">
    <mergeCell ref="A1:C1"/>
  </mergeCells>
  <phoneticPr fontId="86" type="noConversion"/>
  <conditionalFormatting sqref="B57">
    <cfRule type="expression" dxfId="46" priority="386" stopIfTrue="1">
      <formula>IF(F57=0,TRUE)</formula>
    </cfRule>
  </conditionalFormatting>
  <conditionalFormatting sqref="A5:A13">
    <cfRule type="expression" dxfId="45" priority="94" stopIfTrue="1">
      <formula>$F5=0</formula>
    </cfRule>
    <cfRule type="expression" dxfId="44" priority="95" stopIfTrue="1">
      <formula>AND($F5=1,$G5=0)</formula>
    </cfRule>
    <cfRule type="expression" dxfId="43" priority="96" stopIfTrue="1">
      <formula>AND($F5&lt;&gt;0,$G5&lt;&gt;0)</formula>
    </cfRule>
  </conditionalFormatting>
  <conditionalFormatting sqref="B56">
    <cfRule type="expression" dxfId="42" priority="92" stopIfTrue="1">
      <formula>$F56=0</formula>
    </cfRule>
  </conditionalFormatting>
  <conditionalFormatting sqref="D46">
    <cfRule type="expression" dxfId="41" priority="403" stopIfTrue="1">
      <formula>$H$46=0</formula>
    </cfRule>
  </conditionalFormatting>
  <conditionalFormatting sqref="B58">
    <cfRule type="expression" dxfId="40" priority="84" stopIfTrue="1">
      <formula>IF(F58=0,TRUE)</formula>
    </cfRule>
  </conditionalFormatting>
  <conditionalFormatting sqref="B59">
    <cfRule type="expression" dxfId="39" priority="80" stopIfTrue="1">
      <formula>IF(F59=0,TRUE)</formula>
    </cfRule>
  </conditionalFormatting>
  <conditionalFormatting sqref="B60:B61">
    <cfRule type="expression" dxfId="38" priority="76" stopIfTrue="1">
      <formula>IF(F60=0,TRUE)</formula>
    </cfRule>
  </conditionalFormatting>
  <conditionalFormatting sqref="A57:A61">
    <cfRule type="expression" dxfId="37" priority="59" stopIfTrue="1">
      <formula>C57="Not Required"</formula>
    </cfRule>
    <cfRule type="expression" dxfId="36"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35" priority="392" stopIfTrue="1">
      <formula>$F4=0</formula>
    </cfRule>
    <cfRule type="expression" dxfId="34" priority="393" stopIfTrue="1">
      <formula>$H4=0</formula>
    </cfRule>
    <cfRule type="expression" dxfId="33" priority="394" stopIfTrue="1">
      <formula>$H4=1</formula>
    </cfRule>
  </conditionalFormatting>
  <conditionalFormatting sqref="C61 A61">
    <cfRule type="expression" dxfId="32" priority="56" stopIfTrue="1">
      <formula>IF(AND($F$61=1,$G$61=1),TRUE,FALSE)</formula>
    </cfRule>
  </conditionalFormatting>
  <conditionalFormatting sqref="C20:C23">
    <cfRule type="expression" dxfId="31" priority="40" stopIfTrue="1">
      <formula>B15="No"</formula>
    </cfRule>
    <cfRule type="expression" dxfId="30" priority="41" stopIfTrue="1">
      <formula>OR(C20="Complete",C20="填写", C20="記入済",C20="완료",C20="Complétez",C20="Concluído",C20="Vollständig",C20="Completare",C20="Doldurun")</formula>
    </cfRule>
  </conditionalFormatting>
  <conditionalFormatting sqref="C40:C43">
    <cfRule type="expression" dxfId="29" priority="48" stopIfTrue="1">
      <formula>B15="No"</formula>
    </cfRule>
    <cfRule type="expression" dxfId="28" priority="49" stopIfTrue="1">
      <formula>OR(C40="Complete",C40="填写", C40="記入済",C40="완료",C40="Complétez",C40="Concluído",C40="Vollständig",C40="Completare",C40="Doldurun")</formula>
    </cfRule>
  </conditionalFormatting>
  <conditionalFormatting sqref="C35:C38">
    <cfRule type="expression" dxfId="27" priority="46" stopIfTrue="1">
      <formula>B15="No"</formula>
    </cfRule>
    <cfRule type="expression" dxfId="26" priority="47" stopIfTrue="1">
      <formula>OR(C35="Complete",C35="填写", C35="記入済",C35="완료",C35="Complétez",C35="Concluído",C35="Vollständig",C35="Completare",C35="Doldurun")</formula>
    </cfRule>
  </conditionalFormatting>
  <conditionalFormatting sqref="C30:C33">
    <cfRule type="expression" dxfId="25" priority="44" stopIfTrue="1">
      <formula>B15="No"</formula>
    </cfRule>
    <cfRule type="expression" dxfId="24" priority="45" stopIfTrue="1">
      <formula>OR(C30="Complete",C30="填写", C30="記入済",C30="완료",C30="Complétez",C30="Concluído",C30="Vollständig",C30="Completare",C30="Doldurun")</formula>
    </cfRule>
  </conditionalFormatting>
  <conditionalFormatting sqref="C25:C28">
    <cfRule type="expression" dxfId="23" priority="42" stopIfTrue="1">
      <formula>B15="No"</formula>
    </cfRule>
    <cfRule type="expression" dxfId="22" priority="43" stopIfTrue="1">
      <formula>OR(C25="Complete",C25="填写", C25="記入済",C25="완료",C25="Complétez",C25="Concluído",C25="Vollständig",C25="Completare",C25="Doldurun")</formula>
    </cfRule>
  </conditionalFormatting>
  <conditionalFormatting sqref="A58">
    <cfRule type="expression" dxfId="21" priority="38">
      <formula>IF(A58,"")=TRUE</formula>
    </cfRule>
  </conditionalFormatting>
  <conditionalFormatting sqref="C57">
    <cfRule type="expression" dxfId="20" priority="31" stopIfTrue="1">
      <formula>C57="Not Required"</formula>
    </cfRule>
    <cfRule type="expression" dxfId="19" priority="32" stopIfTrue="1">
      <formula>OR(C57="Complete",C57="填写", C57="記入済",C57="완료",C57="Complétez",C57="Concluído",C57="Vollständig",C57="Completare",C57="Doldurun")</formula>
    </cfRule>
  </conditionalFormatting>
  <conditionalFormatting sqref="C49">
    <cfRule type="expression" dxfId="18" priority="21" stopIfTrue="1">
      <formula>B15="No"</formula>
    </cfRule>
    <cfRule type="expression" dxfId="17" priority="22" stopIfTrue="1">
      <formula>OR(C49="Complete",C49="填写", C49="記入済",C49="완료",C49="Complétez",C49="Concluído",C49="Vollständig",C49="Completare",C49="Doldurun")</formula>
    </cfRule>
  </conditionalFormatting>
  <conditionalFormatting sqref="C51">
    <cfRule type="expression" dxfId="16" priority="19" stopIfTrue="1">
      <formula>B15="No"</formula>
    </cfRule>
    <cfRule type="expression" dxfId="15" priority="20" stopIfTrue="1">
      <formula>OR(C51="Complete",C51="填写", C51="記入済",C51="완료",C51="Complétez",C51="Concluído",C51="Vollständig",C51="Completare",C51="Doldurun")</formula>
    </cfRule>
  </conditionalFormatting>
  <conditionalFormatting sqref="C53">
    <cfRule type="expression" dxfId="14"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13" priority="52" stopIfTrue="1">
      <formula>OR(C48="Complete",C48="填写", C48="記入済",C48="완료",C48="Complétez",C48="Concluído",C48="Vollständig",C48="Completare",C48="Doldurun")</formula>
    </cfRule>
    <cfRule type="expression" dxfId="12" priority="16" stopIfTrue="1">
      <formula>B15="No"</formula>
    </cfRule>
  </conditionalFormatting>
  <conditionalFormatting sqref="C45">
    <cfRule type="expression" dxfId="11" priority="2" stopIfTrue="1">
      <formula>B15="No"</formula>
    </cfRule>
    <cfRule type="expression" dxfId="10" priority="15" stopIfTrue="1">
      <formula>OR(C45="Complete",C45="填写", C45="記入済",C45="완료",C45="Complétez",C45="Concluído",C45="Vollständig",C45="Completare",C45="Doldurun")</formula>
    </cfRule>
  </conditionalFormatting>
  <conditionalFormatting sqref="C47">
    <cfRule type="expression" dxfId="9" priority="13" stopIfTrue="1">
      <formula>B15="No"</formula>
    </cfRule>
    <cfRule type="expression" dxfId="8" priority="66" stopIfTrue="1">
      <formula>OR(C47="Complete",C47="填写", C47="記入済",C47="완료",C47="Complétez",C47="Concluído",C47="Vollständig",C47="Completare",C47="Doldurun")</formula>
    </cfRule>
  </conditionalFormatting>
  <conditionalFormatting sqref="C50">
    <cfRule type="expression" dxfId="7" priority="10" stopIfTrue="1">
      <formula>B15="No"</formula>
    </cfRule>
    <cfRule type="expression" dxfId="6" priority="11" stopIfTrue="1">
      <formula>OR(C50="Complete",C50="填写", C50="記入済",C50="완료",C50="Complétez",C50="Concluído",C50="Vollständig",C50="Completare",C50="Doldurun")</formula>
    </cfRule>
  </conditionalFormatting>
  <conditionalFormatting sqref="C54">
    <cfRule type="expression" dxfId="5" priority="7" stopIfTrue="1">
      <formula>B15="No"</formula>
    </cfRule>
    <cfRule type="expression" dxfId="4" priority="8" stopIfTrue="1">
      <formula>OR(C54="Complete",C54="填写", C54="記入済",C54="완료",C54="Complétez",C54="Concluído",C54="Vollständig",C54="Completare",C54="Doldurun")</formula>
    </cfRule>
  </conditionalFormatting>
  <conditionalFormatting sqref="C55">
    <cfRule type="expression" dxfId="3" priority="5" stopIfTrue="1">
      <formula>B15="No"</formula>
    </cfRule>
    <cfRule type="expression" dxfId="2"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12" sqref="B12"/>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9" t="str">
        <f ca="1">OFFSET(L!$C$1,MATCH("Product List"&amp;ADDRESS(ROW(),COLUMN(),4),L!$A:$A,0)-1,SL,,)</f>
        <v>Completion required only if reporting level "Product (or List of Products)" selected on the 'Declaration' worksheet.</v>
      </c>
      <c r="B1" s="430"/>
      <c r="C1" s="430"/>
      <c r="D1" s="430"/>
      <c r="E1" s="126"/>
    </row>
    <row r="2" spans="1:35">
      <c r="A2" s="23"/>
      <c r="B2" s="128"/>
      <c r="C2" s="128"/>
      <c r="D2"/>
      <c r="E2" s="24"/>
    </row>
    <row r="3" spans="1:35">
      <c r="A3" s="23"/>
      <c r="B3" s="128"/>
      <c r="C3" s="128"/>
      <c r="D3" s="128"/>
      <c r="E3" s="24"/>
    </row>
    <row r="4" spans="1:35" ht="15.75" customHeight="1">
      <c r="A4" s="23"/>
      <c r="B4" s="428" t="s">
        <v>484</v>
      </c>
      <c r="C4" s="428"/>
      <c r="D4" s="428"/>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434" t="s">
        <v>14072</v>
      </c>
      <c r="C6" s="434" t="s">
        <v>14072</v>
      </c>
      <c r="D6" s="100"/>
      <c r="E6" s="26"/>
      <c r="F6"/>
      <c r="G6"/>
      <c r="H6"/>
      <c r="I6"/>
      <c r="J6"/>
      <c r="K6"/>
      <c r="L6"/>
      <c r="M6"/>
      <c r="N6"/>
      <c r="O6"/>
      <c r="P6"/>
      <c r="Q6"/>
      <c r="R6"/>
      <c r="S6"/>
      <c r="T6"/>
      <c r="U6"/>
      <c r="V6"/>
      <c r="W6"/>
      <c r="X6"/>
      <c r="Y6"/>
      <c r="Z6"/>
      <c r="AA6"/>
      <c r="AB6"/>
      <c r="AC6"/>
      <c r="AD6"/>
      <c r="AE6"/>
      <c r="AF6"/>
      <c r="AG6"/>
      <c r="AH6"/>
      <c r="AI6"/>
    </row>
    <row r="7" spans="1:35" s="27" customFormat="1" ht="15.75">
      <c r="A7" s="139"/>
      <c r="B7" s="434" t="s">
        <v>14073</v>
      </c>
      <c r="C7" s="434" t="s">
        <v>14073</v>
      </c>
      <c r="D7" s="100"/>
      <c r="E7" s="26"/>
      <c r="F7"/>
      <c r="G7"/>
      <c r="H7"/>
      <c r="I7"/>
      <c r="J7"/>
      <c r="K7"/>
      <c r="L7"/>
      <c r="M7"/>
      <c r="N7"/>
      <c r="O7"/>
      <c r="P7"/>
      <c r="Q7"/>
      <c r="R7"/>
      <c r="S7"/>
      <c r="T7"/>
      <c r="U7"/>
      <c r="V7"/>
      <c r="W7"/>
      <c r="X7"/>
      <c r="Y7"/>
      <c r="Z7"/>
      <c r="AA7"/>
      <c r="AB7"/>
      <c r="AC7"/>
      <c r="AD7"/>
      <c r="AE7"/>
      <c r="AF7"/>
      <c r="AG7"/>
      <c r="AH7"/>
      <c r="AI7"/>
    </row>
    <row r="8" spans="1:35" s="27" customFormat="1" ht="15.75">
      <c r="A8" s="139"/>
      <c r="B8" s="434" t="s">
        <v>14074</v>
      </c>
      <c r="C8" s="434" t="s">
        <v>14074</v>
      </c>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31" t="str">
        <f ca="1">OFFSET(L!$C$1,MATCH("General"&amp;"Cpy",L!$A:$A,0)-1,SL,,)</f>
        <v>© 2020 Responsible Minerals Initiative. All rights reserved.</v>
      </c>
      <c r="C1001" s="431"/>
      <c r="D1001" s="431"/>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3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2"/>
      <c r="C1" s="432"/>
      <c r="D1" s="432"/>
      <c r="E1" s="432"/>
      <c r="F1" s="432"/>
      <c r="G1" s="432"/>
    </row>
    <row r="2" spans="1:13">
      <c r="A2" s="433"/>
      <c r="B2" s="433"/>
      <c r="C2" s="433"/>
      <c r="D2" s="433"/>
      <c r="E2" s="433"/>
      <c r="F2" s="433"/>
      <c r="G2" s="433"/>
      <c r="H2" s="433"/>
      <c r="I2" s="433"/>
    </row>
    <row r="3" spans="1:13">
      <c r="A3" s="433"/>
      <c r="B3" s="433"/>
      <c r="C3" s="433"/>
      <c r="D3" s="433"/>
      <c r="E3" s="433"/>
      <c r="F3" s="433"/>
      <c r="G3" s="433"/>
      <c r="H3" s="433"/>
      <c r="I3" s="433"/>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s>
  <mergeCells count="2">
    <mergeCell ref="A1:G1"/>
    <mergeCell ref="A2:I3"/>
  </mergeCells>
  <phoneticPr fontId="86"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99.75">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42.2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199.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70.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20">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56.75">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42.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56.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8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14">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57">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14">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28">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13.75">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85.2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28">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399">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185.2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30">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14">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57">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15.7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15.7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85.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85.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85.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85.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71.2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 guid="{4BDF1A28-30D5-449D-B20E-D6C97EF9FAE1}" showAutoFilter="1">
      <selection activeCell="C174" sqref="C174"/>
      <pageMargins left="0.75" right="0.75" top="1" bottom="1" header="0.3" footer="0.3"/>
      <pageSetup paperSize="9" orientation="portrait"/>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openxmlformats.org/package/2006/metadata/core-properties"/>
    <ds:schemaRef ds:uri="http://purl.org/dc/elements/1.1/"/>
    <ds:schemaRef ds:uri="http://schemas.microsoft.com/office/2006/metadata/properties"/>
    <ds:schemaRef ds:uri="http://purl.org/dc/terms/"/>
    <ds:schemaRef ds:uri="a54701f6-876b-4337-a24e-543e1bd311e6"/>
    <ds:schemaRef ds:uri="http://schemas.microsoft.com/office/2006/documentManagement/types"/>
    <ds:schemaRef ds:uri="http://purl.org/dc/dcmitype/"/>
    <ds:schemaRef ds:uri="http://schemas.microsoft.com/office/infopath/2007/PartnerControls"/>
    <ds:schemaRef ds:uri="98893d5f-232f-4f98-b444-edffba23399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Jamie Sanders</cp:lastModifiedBy>
  <cp:lastPrinted>2015-04-21T20:47:43Z</cp:lastPrinted>
  <dcterms:created xsi:type="dcterms:W3CDTF">2010-06-21T21:00:23Z</dcterms:created>
  <dcterms:modified xsi:type="dcterms:W3CDTF">2020-12-07T13:27:52Z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