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P:\Quality\Conflict Minerals\2026\"/>
    </mc:Choice>
  </mc:AlternateContent>
  <xr:revisionPtr revIDLastSave="0" documentId="8_{74D7C652-4B99-4D89-BAFB-5191E0F30193}"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J316" i="8" l="1"/>
  <c r="K316" i="8"/>
  <c r="J317" i="8"/>
  <c r="K317" i="8"/>
  <c r="AD6" i="5"/>
  <c r="AD7" i="5"/>
  <c r="AD8" i="5"/>
  <c r="AD9"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<sst xmlns="http://schemas.openxmlformats.org/spreadsheetml/2006/main" count="28558" uniqueCount="20178">
  <si>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</si>
  <si>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</si>
  <si>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</si>
  <si>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</si>
  <si>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</si>
  <si>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</si>
  <si>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</si>
  <si>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</si>
  <si>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</si>
  <si>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</si>
  <si>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</si>
  <si>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</si>
  <si>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</si>
  <si>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</si>
  <si>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</si>
  <si>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</si>
  <si>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</si>
  <si>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</si>
  <si>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</si>
  <si>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</si>
  <si>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</si>
  <si>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</si>
  <si>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</si>
  <si>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</si>
  <si>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</si>
  <si>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</si>
  <si>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</si>
  <si>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</si>
  <si>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</si>
  <si>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</si>
  <si>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</si>
  <si>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</si>
  <si>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</si>
  <si>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</si>
  <si>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</si>
  <si>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</si>
  <si>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</si>
  <si>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</si>
  <si>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</si>
  <si>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</si>
  <si>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</si>
  <si>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</si>
  <si>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</si>
  <si>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</si>
  <si>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</si>
  <si>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</si>
  <si>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</si>
  <si>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</si>
  <si>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</si>
  <si>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</si>
  <si>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</si>
  <si>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</si>
  <si>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</si>
  <si>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</si>
  <si>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</si>
  <si>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</si>
  <si>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</si>
  <si>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</si>
  <si>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</si>
  <si>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</si>
  <si>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</si>
  <si>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</si>
  <si>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</si>
  <si>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</si>
  <si>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</si>
  <si>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</si>
  <si>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</si>
  <si>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</si>
  <si>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</si>
  <si>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</si>
  <si>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</si>
  <si>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</si>
  <si>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</si>
  <si>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</si>
  <si>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</si>
  <si>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</si>
  <si>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</si>
  <si>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</si>
  <si>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</si>
  <si>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</si>
  <si>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</si>
  <si>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</si>
  <si>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</si>
  <si>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</si>
  <si>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</si>
  <si>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</si>
  <si>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</si>
  <si>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</si>
  <si>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</si>
  <si>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</si>
  <si>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</si>
  <si>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</si>
  <si>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</si>
  <si>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</si>
  <si>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</si>
  <si>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</si>
  <si>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</si>
  <si>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</si>
  <si>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</si>
  <si>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</si>
  <si>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</si>
  <si>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</si>
  <si>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</si>
  <si>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</si>
  <si>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</si>
  <si>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</si>
  <si>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</si>
  <si>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</si>
  <si>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</si>
  <si>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</si>
  <si>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</si>
  <si>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</si>
  <si>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</si>
  <si>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</si>
  <si>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</si>
  <si>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</si>
  <si>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</si>
  <si>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</si>
  <si>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</si>
  <si>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</si>
  <si>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</si>
  <si>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</si>
  <si>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</si>
  <si>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</si>
  <si>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</si>
  <si>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</si>
  <si>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</si>
  <si>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</si>
  <si>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</si>
  <si>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</si>
  <si>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</si>
  <si>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</si>
  <si>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</si>
  <si>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</si>
  <si>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</si>
  <si>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</si>
  <si>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</si>
  <si>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</si>
  <si>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</si>
  <si>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</si>
  <si>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</si>
  <si>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</si>
  <si>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</si>
  <si>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</si>
  <si>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</si>
  <si>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</si>
  <si>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</si>
  <si>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</si>
  <si>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</si>
  <si>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</si>
  <si>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</si>
  <si>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</si>
  <si>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</si>
  <si>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</si>
  <si>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</si>
  <si>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</si>
  <si>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</si>
  <si>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</si>
  <si>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</si>
  <si>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</si>
  <si>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</si>
  <si>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</si>
  <si>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</si>
  <si>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</si>
  <si>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</si>
  <si>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</si>
  <si>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</si>
  <si>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</si>
  <si>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</si>
  <si>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</si>
  <si>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</si>
  <si>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</si>
  <si>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</si>
  <si>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</si>
  <si>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</si>
  <si>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</si>
  <si>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</si>
  <si>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</si>
  <si>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</si>
  <si>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</si>
  <si>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</si>
  <si>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</si>
  <si>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</si>
  <si>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</si>
  <si>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</si>
  <si>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</si>
  <si>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</si>
  <si>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</si>
  <si>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</si>
  <si>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</si>
  <si>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</si>
  <si>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</si>
  <si>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</si>
  <si>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</si>
  <si>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</si>
  <si>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</si>
  <si>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</si>
  <si>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</si>
  <si>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</si>
  <si>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</si>
  <si>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</si>
  <si>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</si>
  <si>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</si>
  <si>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</si>
  <si>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</si>
  <si>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</si>
  <si>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</si>
  <si>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</si>
  <si>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</si>
  <si>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</si>
  <si>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</si>
  <si>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</si>
  <si>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</si>
  <si>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</si>
  <si>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</si>
  <si>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</si>
  <si>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</si>
  <si>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</si>
  <si>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</si>
  <si>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</si>
  <si>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</si>
  <si>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</si>
  <si>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</si>
  <si>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</si>
  <si>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</si>
  <si>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</si>
  <si>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</si>
  <si>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</si>
  <si>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</si>
  <si>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</si>
  <si>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</si>
  <si>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</si>
  <si>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</si>
  <si>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</si>
  <si>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</si>
  <si>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</si>
  <si>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</si>
  <si>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</si>
  <si>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</si>
  <si>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</si>
  <si>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</si>
  <si>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</si>
  <si>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</si>
  <si>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</si>
  <si>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</si>
  <si>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</si>
  <si>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</si>
  <si>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</si>
  <si>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</si>
  <si>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</si>
  <si>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</si>
  <si>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</si>
  <si>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</si>
  <si>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</si>
  <si>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</si>
  <si>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</si>
  <si>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</si>
  <si>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</si>
  <si>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</si>
  <si>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</si>
  <si>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</si>
  <si>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</si>
  <si>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</si>
  <si>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</si>
  <si>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</si>
  <si>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</si>
  <si>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</si>
  <si>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</si>
  <si>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</si>
  <si>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</si>
  <si>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</si>
  <si>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</si>
  <si>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</si>
  <si>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</si>
  <si>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</si>
  <si>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</si>
  <si>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</si>
  <si>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</si>
  <si>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</si>
  <si>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</si>
  <si>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</si>
  <si>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</si>
  <si>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</si>
  <si>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</si>
  <si>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</si>
  <si>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</si>
  <si>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</si>
  <si>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</si>
  <si>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</si>
  <si>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</si>
  <si>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</si>
  <si>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</si>
  <si>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</si>
  <si>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</si>
  <si>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</si>
  <si>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</si>
  <si>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</si>
  <si>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</si>
  <si>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</si>
  <si>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</si>
  <si>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</si>
  <si>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</si>
  <si>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</si>
  <si>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</si>
  <si>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</si>
  <si>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</si>
  <si>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</si>
  <si>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</si>
  <si>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</si>
  <si>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</si>
  <si>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</si>
  <si>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</si>
  <si>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</si>
  <si>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</si>
  <si>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</si>
  <si>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</si>
  <si>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</si>
  <si>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</si>
  <si>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</si>
  <si>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</si>
  <si>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</si>
  <si>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</si>
  <si>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</si>
  <si>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</si>
  <si>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</si>
  <si>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</si>
  <si>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</si>
  <si>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</si>
  <si>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</si>
  <si>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</si>
  <si>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</si>
  <si>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</si>
  <si>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</si>
  <si>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</si>
  <si>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</si>
  <si>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</si>
  <si>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</si>
  <si>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</si>
  <si>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</si>
  <si>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</si>
  <si>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</si>
  <si>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</si>
  <si>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</si>
  <si>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</si>
  <si>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</si>
  <si>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</si>
  <si>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</si>
  <si>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</si>
  <si>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</si>
  <si>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</si>
  <si>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</si>
  <si>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</si>
  <si>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</si>
  <si>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</si>
  <si>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</si>
  <si>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</si>
  <si>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</si>
  <si>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</si>
  <si>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</si>
  <si>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</si>
  <si>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</si>
  <si>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</si>
  <si>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</si>
  <si>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</si>
  <si>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</si>
  <si>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</si>
  <si>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</si>
  <si>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</si>
  <si>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</si>
  <si>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</si>
  <si>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</si>
  <si>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</si>
  <si>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</si>
  <si>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</si>
  <si>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</si>
  <si>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</si>
  <si>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</si>
  <si>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</si>
  <si>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</si>
  <si>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</si>
  <si>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</si>
  <si>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</si>
  <si>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</si>
  <si>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</si>
  <si>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</si>
  <si>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</si>
  <si>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</si>
  <si>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</si>
  <si>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</si>
  <si>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</si>
  <si>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</si>
  <si>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</si>
  <si>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</si>
  <si>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</si>
  <si>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</si>
  <si>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</si>
  <si>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</si>
  <si>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</si>
  <si>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</si>
  <si>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</si>
  <si>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</si>
  <si>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</si>
  <si>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</si>
  <si>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</si>
  <si>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</si>
  <si>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</si>
  <si>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</si>
  <si>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</si>
  <si>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</si>
  <si>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</si>
  <si>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</si>
  <si>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</si>
  <si>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</si>
  <si>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</si>
  <si>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</si>
  <si>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</si>
  <si>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</si>
  <si>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</si>
  <si>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</si>
  <si>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</si>
  <si>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</si>
  <si>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</si>
  <si>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</si>
  <si>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</si>
  <si>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</si>
  <si>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</si>
  <si>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</si>
  <si>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</si>
  <si>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</si>
  <si>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</si>
  <si>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</si>
  <si>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</si>
  <si>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</si>
  <si>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</si>
  <si>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</si>
  <si>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</si>
  <si>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</si>
  <si>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</si>
  <si>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</si>
  <si>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</si>
  <si>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</si>
  <si>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</si>
  <si>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</si>
  <si>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</si>
  <si>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</si>
  <si>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</si>
  <si>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</si>
  <si>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</si>
  <si>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</si>
  <si>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</si>
  <si>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</si>
  <si>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</si>
  <si>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</si>
  <si>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</si>
  <si>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</si>
  <si>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</si>
  <si>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</si>
  <si>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</si>
  <si>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</si>
  <si>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</si>
  <si>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</si>
  <si>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</si>
  <si>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</si>
  <si>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</si>
  <si>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</si>
  <si>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</si>
  <si>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</si>
  <si>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</si>
  <si>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</si>
  <si>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</si>
  <si>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</si>
  <si>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</si>
  <si>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</si>
  <si>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</si>
  <si>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</si>
  <si>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</si>
  <si>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</si>
  <si>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</si>
  <si>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</si>
  <si>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</si>
  <si>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</si>
  <si>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</si>
  <si>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</si>
  <si>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</si>
  <si>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</si>
  <si>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</si>
  <si>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</si>
  <si>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</si>
  <si>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</si>
  <si>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</si>
  <si>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</si>
  <si>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</si>
  <si>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</si>
  <si>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</si>
  <si>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</si>
  <si>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</si>
  <si>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</si>
  <si>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</si>
  <si>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</si>
  <si>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</si>
  <si>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</si>
  <si>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</si>
  <si>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</si>
  <si>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</si>
  <si>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</si>
  <si>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</si>
  <si>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</si>
  <si>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</si>
  <si>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</si>
  <si>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</si>
  <si>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</si>
  <si>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</si>
  <si>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</si>
  <si>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</si>
  <si>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</si>
  <si>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</si>
  <si>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</si>
  <si>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</si>
  <si>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</si>
  <si>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</si>
  <si>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</si>
  <si>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</si>
  <si>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</si>
  <si>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</si>
  <si>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</si>
  <si>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</si>
  <si>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</si>
  <si>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</si>
  <si>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</si>
  <si>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</si>
  <si>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</si>
  <si>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</si>
  <si>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</si>
  <si>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</si>
  <si>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</si>
  <si>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</si>
  <si>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</si>
  <si>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</si>
  <si>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</si>
  <si>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</si>
  <si>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</si>
  <si>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</si>
  <si>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</si>
  <si>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</si>
  <si>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</si>
  <si>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</si>
  <si>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</si>
  <si>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</si>
  <si>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</si>
  <si>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</si>
  <si>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</si>
  <si>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</si>
  <si>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</si>
  <si>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</si>
  <si>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</si>
  <si>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</si>
  <si>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</si>
  <si>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</si>
  <si>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</si>
  <si>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</si>
  <si>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</si>
  <si>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</si>
  <si>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</si>
  <si>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</si>
  <si>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</si>
  <si>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</si>
  <si>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</si>
  <si>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</si>
  <si>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</si>
  <si>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</si>
  <si>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</si>
  <si>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</si>
  <si>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</si>
  <si>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</si>
  <si>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</si>
  <si>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</si>
  <si>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</si>
  <si>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</si>
  <si>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</si>
  <si>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</si>
  <si>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</si>
  <si>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</si>
  <si>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</si>
  <si>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</si>
  <si>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</si>
  <si>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</si>
  <si>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</si>
  <si>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</si>
  <si>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</si>
  <si>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</si>
  <si>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</si>
  <si>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</si>
  <si>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</si>
  <si>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</si>
  <si>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</si>
  <si>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</si>
  <si>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</si>
  <si>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</si>
  <si>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</si>
  <si>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</si>
  <si>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</si>
  <si>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</si>
  <si>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</si>
  <si>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</si>
  <si>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</si>
  <si>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</si>
  <si>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</si>
  <si>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</si>
  <si>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</si>
  <si>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</si>
  <si>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</si>
  <si>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</si>
  <si>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</si>
  <si>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</si>
  <si>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</si>
  <si>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</si>
  <si>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</si>
  <si>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</si>
  <si>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</si>
  <si>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</si>
  <si>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</si>
  <si>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</si>
  <si>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</si>
  <si>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</si>
  <si>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</si>
  <si>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</si>
  <si>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</si>
  <si>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</si>
  <si>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</si>
  <si>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</si>
  <si>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</si>
  <si>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</si>
  <si>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</si>
  <si>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</si>
  <si>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</si>
  <si>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</si>
  <si>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</si>
  <si>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</si>
  <si>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</si>
  <si>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</si>
  <si>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</si>
  <si>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</si>
  <si>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</si>
  <si>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</si>
  <si>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</si>
  <si>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</si>
  <si>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</si>
  <si>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</si>
  <si>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</si>
  <si>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</si>
  <si>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</si>
  <si>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</si>
  <si>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</si>
  <si>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</si>
  <si>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</si>
  <si>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</si>
  <si>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</si>
  <si>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</si>
  <si>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</si>
  <si>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</si>
  <si>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</si>
  <si>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</si>
  <si>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</si>
  <si>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</si>
  <si>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</si>
  <si>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</si>
  <si>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</si>
  <si>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</si>
  <si>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</si>
  <si>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</si>
  <si>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</si>
  <si>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</si>
  <si>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</si>
  <si>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</si>
  <si>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</si>
  <si>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</si>
  <si>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</si>
  <si>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</si>
  <si>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</si>
  <si>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</si>
  <si>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</si>
  <si>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</si>
  <si>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</si>
  <si>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</si>
  <si>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</si>
  <si>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</si>
  <si>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</si>
  <si>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</si>
  <si>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</si>
  <si>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</si>
  <si>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</si>
  <si>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</si>
  <si>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</si>
  <si>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</si>
  <si>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</si>
  <si>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</si>
  <si>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</si>
  <si>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</si>
  <si>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</si>
  <si>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</si>
  <si>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</si>
  <si>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</si>
  <si>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</si>
  <si>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</si>
  <si>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</si>
  <si>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</si>
  <si>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</si>
  <si>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</si>
  <si>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</si>
  <si>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</si>
  <si>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</si>
  <si>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</si>
  <si>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</si>
  <si>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</si>
  <si>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</si>
  <si>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</si>
  <si>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</si>
  <si>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</si>
  <si>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</si>
  <si>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</si>
  <si>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</si>
  <si>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</si>
  <si>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</si>
  <si>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</si>
  <si>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</si>
  <si>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</si>
  <si>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</si>
  <si>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</si>
  <si>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</si>
  <si>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</si>
  <si>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</si>
  <si>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</si>
  <si>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</si>
  <si>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</si>
  <si>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</si>
  <si>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</si>
  <si>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</si>
  <si>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</si>
  <si>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</si>
  <si>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</si>
  <si>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</si>
  <si>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</si>
  <si>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</si>
  <si>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</si>
  <si>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</si>
  <si>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</si>
  <si>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</si>
  <si>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</si>
  <si>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</si>
  <si>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</si>
  <si>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</si>
  <si>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</si>
  <si>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</si>
  <si>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</si>
  <si>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</si>
  <si>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</si>
  <si>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</si>
  <si>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</si>
  <si>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</si>
  <si>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</si>
  <si>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</si>
  <si>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</si>
  <si>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</si>
  <si>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</si>
  <si>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</si>
  <si>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</si>
  <si>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</si>
  <si>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</si>
  <si>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</si>
  <si>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</si>
  <si>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</si>
  <si>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</si>
  <si>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</si>
  <si>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</si>
  <si>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</si>
  <si>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</si>
  <si>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</si>
  <si>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</si>
  <si>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</si>
  <si>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</si>
  <si>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</si>
  <si>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</si>
  <si>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</si>
  <si>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</si>
  <si>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</si>
  <si>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</si>
  <si>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</si>
  <si>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</si>
  <si>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</si>
  <si>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</si>
  <si>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</si>
  <si>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</si>
  <si>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</si>
  <si>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</si>
  <si>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</si>
  <si>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</si>
  <si>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</si>
  <si>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</si>
  <si>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</si>
  <si>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</si>
  <si>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</si>
  <si>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</si>
  <si>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</si>
  <si>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</si>
  <si>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</si>
  <si>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</si>
  <si>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</si>
  <si>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</si>
  <si>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</si>
  <si>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</si>
  <si>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</si>
  <si>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</si>
  <si>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</si>
  <si>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</si>
  <si>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</si>
  <si>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</si>
  <si>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</si>
  <si>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</si>
  <si>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</si>
  <si>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</si>
  <si>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</si>
  <si>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</si>
  <si>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</si>
  <si>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</si>
  <si>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</si>
  <si>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</si>
  <si>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</si>
  <si>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</si>
  <si>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</si>
  <si>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</si>
  <si>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</si>
  <si>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</si>
  <si>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</si>
  <si>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</si>
  <si>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</si>
  <si>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</si>
  <si>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</si>
  <si>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</si>
  <si>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</si>
  <si>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</si>
  <si>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</si>
  <si>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</si>
  <si>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</si>
  <si>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</si>
  <si>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</si>
  <si>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</si>
  <si>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</si>
  <si>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</si>
  <si>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</si>
  <si>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</si>
  <si>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</si>
  <si>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</si>
  <si>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</si>
  <si>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</si>
  <si>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</si>
  <si>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</si>
  <si>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</si>
  <si>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</si>
  <si>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</si>
  <si>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</si>
  <si>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</si>
  <si>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</si>
  <si>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</si>
  <si>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</si>
  <si>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</si>
  <si>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</si>
  <si>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</si>
  <si>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</si>
  <si>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</si>
  <si>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</si>
  <si>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</si>
  <si>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</si>
  <si>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</si>
  <si>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</si>
  <si>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</si>
  <si>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</si>
  <si>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</si>
  <si>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</si>
  <si>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</si>
  <si>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</si>
  <si>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</si>
  <si>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</si>
  <si>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</si>
  <si>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</si>
  <si>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</si>
  <si>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</si>
  <si>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</si>
  <si>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</si>
  <si>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</si>
  <si>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</si>
  <si>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</si>
  <si>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</si>
  <si>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</si>
  <si>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</si>
  <si>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</si>
  <si>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</si>
  <si>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</si>
  <si>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</si>
  <si>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</si>
  <si>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</si>
  <si>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</si>
  <si>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</si>
  <si>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</si>
  <si>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</si>
  <si>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</si>
  <si>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</si>
  <si>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</si>
  <si>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</si>
  <si>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</si>
  <si>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</si>
  <si>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</si>
  <si>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</si>
  <si>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</si>
  <si>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</si>
  <si>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</si>
  <si>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</si>
  <si>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</si>
  <si>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</si>
  <si>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</si>
  <si>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</si>
  <si>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</si>
  <si>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</si>
  <si>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</si>
  <si>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</si>
  <si>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</si>
  <si>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</si>
  <si>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</si>
  <si>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</si>
  <si>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</si>
  <si>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</si>
  <si>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</si>
  <si>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</si>
  <si>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</si>
  <si>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</si>
  <si>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</si>
  <si>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</si>
  <si>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</si>
  <si>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</si>
  <si>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</si>
  <si>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</si>
  <si>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</si>
  <si>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</si>
  <si>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</si>
  <si>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</si>
  <si>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</si>
  <si>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</si>
  <si>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</si>
  <si>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</si>
  <si>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</si>
  <si>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</si>
  <si>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</si>
  <si>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</si>
  <si>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</si>
  <si>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</si>
  <si>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</si>
  <si>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</si>
  <si>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</si>
  <si>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</si>
  <si>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</si>
  <si>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</si>
  <si>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</si>
  <si>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</si>
  <si>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</si>
  <si>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</si>
  <si>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</si>
  <si>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</si>
  <si>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</si>
  <si>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</si>
  <si>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</si>
  <si>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</si>
  <si>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</si>
  <si>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</si>
  <si>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</si>
  <si>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</si>
  <si>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</si>
  <si>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</si>
  <si>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</si>
  <si>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</si>
  <si>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</si>
  <si>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</si>
  <si>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</si>
  <si>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</si>
  <si>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</si>
  <si>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</si>
  <si>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</si>
  <si>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</si>
  <si>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</si>
  <si>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</si>
  <si>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</si>
  <si>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</si>
  <si>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</si>
  <si>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</si>
  <si>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</si>
  <si>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</si>
  <si>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</si>
  <si>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</si>
  <si>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</si>
  <si>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</si>
  <si>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</si>
  <si>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</si>
  <si>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</si>
  <si>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</si>
  <si>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</si>
  <si>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</si>
  <si>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</si>
  <si>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</si>
  <si>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</si>
  <si>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</si>
  <si>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</si>
  <si>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</si>
  <si>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</si>
  <si>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</si>
  <si>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</si>
  <si>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</si>
  <si>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</si>
  <si>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</si>
  <si>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</si>
  <si>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</si>
  <si>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</si>
  <si>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</si>
  <si>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</si>
  <si>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</si>
  <si>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</si>
  <si>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</si>
  <si>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</si>
  <si>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</si>
  <si>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</si>
  <si>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</si>
  <si>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</si>
  <si>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</si>
  <si>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</si>
  <si>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</si>
  <si>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</si>
  <si>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</si>
  <si>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</si>
  <si>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</si>
  <si>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</si>
  <si>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</si>
  <si>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</si>
  <si>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</si>
  <si>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</si>
  <si>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</si>
  <si>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</si>
  <si>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</si>
  <si>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</si>
  <si>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</si>
  <si>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</si>
  <si>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</si>
  <si>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</si>
  <si>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</si>
  <si>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</si>
  <si>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</si>
  <si>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</si>
  <si>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</si>
  <si>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</si>
  <si>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</si>
  <si>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</si>
  <si>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</si>
  <si>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</si>
  <si>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</si>
  <si>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</si>
  <si>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</si>
  <si>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</si>
  <si>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</si>
  <si>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</si>
  <si>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</si>
  <si>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</si>
  <si>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</si>
  <si>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</si>
  <si>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</si>
  <si>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</si>
  <si>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</si>
  <si>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</si>
  <si>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</si>
  <si>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</si>
  <si>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</si>
  <si>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</si>
  <si>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</si>
  <si>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</si>
  <si>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</si>
  <si>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</si>
  <si>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</si>
  <si>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</si>
  <si>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</si>
  <si>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</si>
  <si>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</si>
  <si>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</si>
  <si>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</si>
  <si>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</si>
  <si>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</si>
  <si>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</si>
  <si>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</si>
  <si>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</si>
  <si>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</si>
  <si>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</si>
  <si>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</si>
  <si>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</si>
  <si>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</si>
  <si>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</si>
  <si>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</si>
  <si>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</si>
  <si>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</si>
  <si>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</si>
  <si>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</si>
  <si>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</si>
  <si>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</si>
  <si>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</si>
  <si>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</si>
  <si>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</si>
  <si>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</si>
  <si>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</si>
  <si>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</si>
  <si>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</si>
  <si>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</si>
  <si>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</si>
  <si>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</si>
  <si>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</si>
  <si>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</si>
  <si>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</si>
  <si>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</si>
  <si>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</si>
  <si>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</si>
  <si>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</si>
  <si>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</si>
  <si>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</si>
  <si>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</si>
  <si>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</si>
  <si>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</si>
  <si>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</si>
  <si>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</si>
  <si>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</si>
  <si>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</si>
  <si>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</si>
  <si>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</si>
  <si>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</si>
  <si>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</si>
  <si>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</si>
  <si>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</si>
  <si>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</si>
  <si>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</si>
  <si>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</si>
  <si>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</si>
  <si>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</si>
  <si>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</si>
  <si>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</si>
  <si>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</si>
  <si>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</si>
  <si>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</si>
  <si>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</si>
  <si>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</si>
  <si>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</si>
  <si>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</si>
  <si>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</si>
  <si>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</si>
  <si>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</si>
  <si>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</si>
  <si>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</si>
  <si>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</si>
  <si>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</si>
  <si>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</si>
  <si>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</si>
  <si>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</si>
  <si>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</si>
  <si>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</si>
  <si>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</si>
  <si>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</si>
  <si>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</si>
  <si>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</si>
  <si>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</si>
  <si>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</si>
  <si>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</si>
  <si>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</si>
  <si>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</si>
  <si>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</si>
  <si>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</si>
  <si>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</si>
  <si>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</si>
  <si>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</si>
  <si>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</si>
  <si>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</si>
  <si>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</si>
  <si>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</si>
  <si>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</si>
  <si>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</si>
  <si>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</si>
  <si>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</si>
  <si>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</si>
  <si>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</si>
  <si>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</si>
  <si>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</si>
  <si>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</si>
  <si>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</si>
  <si>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</si>
  <si>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</si>
  <si>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</si>
  <si>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</si>
  <si>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</si>
  <si>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</si>
  <si>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</si>
  <si>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</si>
  <si>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</si>
  <si>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</si>
  <si>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</si>
  <si>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</si>
  <si>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</si>
  <si>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</si>
  <si>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</si>
  <si>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</si>
  <si>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</si>
  <si>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</si>
  <si>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</si>
  <si>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</si>
  <si>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</si>
  <si>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</si>
  <si>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</si>
  <si>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</si>
  <si>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</si>
  <si>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</si>
  <si>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</si>
  <si>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</si>
  <si>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</si>
  <si>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</si>
  <si>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</si>
  <si>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</si>
  <si>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</si>
  <si>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</si>
  <si>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</si>
  <si>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</si>
  <si>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</si>
  <si>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</si>
  <si>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</si>
  <si>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</si>
  <si>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</si>
  <si>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</si>
  <si>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</si>
  <si>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</si>
  <si>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</si>
  <si>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</si>
  <si>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</si>
  <si>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</si>
  <si>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</si>
  <si>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</si>
  <si>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</si>
  <si>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</si>
  <si>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</si>
  <si>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</si>
  <si>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</si>
  <si>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</si>
  <si>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</si>
  <si>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</si>
  <si>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</si>
  <si>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</si>
  <si>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</si>
  <si>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</si>
  <si>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</si>
  <si>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</si>
  <si>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</si>
  <si>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</si>
  <si>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</si>
  <si>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</si>
  <si>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</si>
  <si>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</si>
  <si>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</si>
  <si>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</si>
  <si>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</si>
  <si>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</si>
  <si>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</si>
  <si>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</si>
  <si>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</si>
  <si>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</si>
  <si>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</si>
  <si>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</si>
  <si>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</si>
  <si>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</si>
  <si>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</si>
  <si>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</si>
  <si>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</si>
  <si>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</si>
  <si>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</si>
  <si>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</si>
  <si>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</si>
  <si>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</si>
  <si>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</si>
  <si>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</si>
  <si>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</si>
  <si>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</si>
  <si>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</si>
  <si>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</si>
  <si>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</si>
  <si>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</si>
  <si>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</si>
  <si>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</si>
  <si>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</si>
  <si>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</si>
  <si>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</si>
  <si>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</si>
  <si>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</si>
  <si>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</si>
  <si>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</si>
  <si>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</si>
  <si>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</si>
  <si>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</si>
  <si>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</si>
  <si>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</si>
  <si>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</si>
  <si>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</si>
  <si>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</si>
  <si>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</si>
  <si>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</si>
  <si>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</si>
  <si>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</si>
  <si>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</si>
  <si>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</si>
  <si>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</si>
  <si>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</si>
  <si>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</si>
  <si>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</si>
  <si>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</si>
  <si>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</si>
  <si>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</si>
  <si>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</si>
  <si>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</si>
  <si>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</si>
  <si>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</si>
  <si>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</si>
  <si>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</si>
  <si>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</si>
  <si>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</si>
  <si>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</si>
  <si>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</si>
  <si>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</si>
  <si>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</si>
  <si>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</si>
  <si>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</si>
  <si>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</si>
  <si>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</si>
  <si>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</si>
  <si>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</si>
  <si>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</si>
  <si>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</si>
  <si>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</si>
  <si>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</si>
  <si>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</si>
  <si>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</si>
  <si>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</si>
  <si>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</si>
  <si>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</si>
  <si>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</si>
  <si>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</si>
  <si>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</si>
  <si>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</si>
  <si>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</si>
  <si>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</si>
  <si>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</si>
  <si>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</si>
  <si>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</si>
  <si>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</si>
  <si>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</si>
  <si>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</si>
  <si>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</si>
  <si>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</si>
  <si>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</si>
  <si>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</si>
  <si>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</si>
  <si>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</si>
  <si>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</si>
  <si>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</si>
  <si>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</si>
  <si>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</si>
  <si>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</si>
  <si>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</si>
  <si>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</si>
  <si>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</si>
  <si>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</si>
  <si>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</si>
  <si>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</si>
  <si>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</si>
  <si>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</si>
  <si>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</si>
  <si>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</si>
  <si>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</si>
  <si>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</si>
  <si>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</si>
  <si>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</si>
  <si>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</si>
  <si>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</si>
  <si>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</si>
  <si>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</si>
  <si>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</si>
  <si>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</si>
  <si>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</si>
  <si>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</si>
  <si>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</si>
  <si>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</si>
  <si>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</si>
  <si>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</si>
  <si>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</si>
  <si>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</si>
  <si>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</si>
  <si>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</si>
  <si>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</si>
  <si>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</si>
  <si>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</si>
  <si>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</si>
  <si>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</si>
  <si>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</si>
  <si>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</si>
  <si>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</si>
  <si>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</si>
  <si>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</si>
  <si>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</si>
  <si>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</si>
  <si>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</si>
  <si>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</si>
  <si>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</si>
  <si>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</si>
  <si>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</si>
  <si>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</si>
  <si>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</si>
  <si>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</si>
  <si>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</si>
  <si>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</si>
  <si>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</si>
  <si>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</si>
  <si>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</si>
  <si>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</si>
  <si>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</si>
  <si>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</si>
  <si>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</si>
  <si>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</si>
  <si>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</si>
  <si>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</si>
  <si>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</si>
  <si>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</si>
  <si>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</si>
  <si>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</si>
  <si>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</si>
  <si>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</si>
  <si>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</si>
  <si>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</si>
  <si>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</si>
  <si>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</si>
  <si>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</si>
  <si>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</si>
  <si>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</si>
  <si>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</si>
  <si>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</si>
  <si>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</si>
  <si>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</si>
  <si>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</si>
  <si>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</si>
  <si>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</si>
  <si>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</si>
  <si>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</si>
  <si>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</si>
  <si>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</si>
  <si>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</si>
  <si>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</si>
  <si>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</si>
  <si>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</si>
  <si>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</si>
  <si>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</si>
  <si>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</si>
  <si>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</si>
  <si>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</si>
  <si>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</si>
  <si>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</si>
  <si>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</si>
  <si>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</si>
  <si>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</si>
  <si>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</si>
  <si>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</si>
  <si>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</si>
  <si>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</si>
  <si>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</si>
  <si>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</si>
  <si>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</si>
  <si>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</si>
  <si>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</si>
  <si>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</si>
  <si>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</si>
  <si>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</si>
  <si>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</si>
  <si>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</si>
  <si>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</si>
  <si>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</si>
  <si>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</si>
  <si>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</si>
  <si>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</si>
  <si>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</si>
  <si>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</si>
  <si>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</si>
  <si>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</si>
  <si>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</si>
  <si>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</si>
  <si>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</si>
  <si>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</si>
  <si>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</si>
  <si>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</si>
  <si>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</si>
  <si>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</si>
  <si>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</si>
  <si>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</si>
  <si>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</si>
  <si>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</si>
  <si>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</si>
  <si>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</si>
  <si>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</si>
  <si>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</si>
  <si>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</si>
  <si>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</si>
  <si>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</si>
  <si>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</si>
  <si>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</si>
  <si>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</si>
  <si>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</si>
  <si>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</si>
  <si>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</si>
  <si>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</si>
  <si>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</si>
  <si>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</si>
  <si>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</si>
  <si>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</si>
  <si>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</si>
  <si>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</si>
  <si>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</si>
  <si>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</si>
  <si>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</si>
  <si>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</si>
  <si>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</si>
  <si>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</si>
  <si>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</si>
  <si>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</si>
  <si>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</si>
  <si>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</si>
  <si>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</si>
  <si>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</si>
  <si>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</si>
  <si>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</si>
  <si>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</si>
  <si>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</si>
  <si>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</si>
  <si>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</si>
  <si>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</si>
  <si>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</si>
  <si>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</si>
  <si>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</si>
  <si>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</si>
  <si>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</si>
  <si>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</si>
  <si>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</si>
  <si>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</si>
  <si>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</si>
  <si>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</si>
  <si>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</si>
  <si>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</si>
  <si>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</si>
  <si>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</si>
  <si>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</si>
  <si>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</si>
  <si>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</si>
  <si>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</si>
  <si>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</si>
  <si>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</si>
  <si>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</si>
  <si>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</si>
  <si>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</si>
  <si>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</si>
  <si>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</si>
  <si>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</si>
  <si>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</si>
  <si>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</si>
  <si>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</si>
  <si>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</si>
  <si>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</si>
  <si>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</si>
  <si>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</si>
  <si>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</si>
  <si>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</si>
  <si>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</si>
  <si>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</si>
  <si>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</si>
  <si>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</si>
  <si>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</si>
  <si>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</si>
  <si>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</si>
  <si>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</si>
  <si>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</si>
  <si>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</si>
  <si>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</si>
  <si>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</si>
  <si>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</si>
  <si>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</si>
  <si>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</si>
  <si>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</si>
  <si>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</si>
  <si>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</si>
  <si>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</si>
  <si>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</si>
  <si>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</si>
  <si>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</si>
  <si>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</si>
  <si>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</si>
  <si>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</si>
  <si>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</si>
  <si>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</si>
  <si>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</si>
  <si>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</si>
  <si>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</si>
  <si>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</si>
  <si>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</si>
  <si>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</si>
  <si>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</si>
  <si>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</si>
  <si>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</si>
  <si>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</si>
  <si>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</si>
  <si>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</si>
  <si>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</si>
  <si>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</si>
  <si>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</si>
  <si>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</si>
  <si>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</si>
  <si>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</si>
  <si>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</si>
  <si>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</si>
  <si>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</si>
  <si>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</si>
  <si>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</si>
  <si>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</si>
  <si>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</si>
  <si>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</si>
  <si>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</si>
  <si>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</si>
  <si>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</si>
  <si>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</si>
  <si>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</si>
  <si>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</si>
  <si>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</si>
  <si>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</si>
  <si>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</si>
  <si>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</si>
  <si>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</si>
  <si>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</si>
  <si>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</si>
  <si>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</si>
  <si>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</si>
  <si>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</si>
  <si>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</si>
  <si>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</si>
  <si>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</si>
  <si>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</si>
  <si>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</si>
  <si>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</si>
  <si>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</si>
  <si>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</si>
  <si>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</si>
  <si>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</si>
  <si>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</si>
  <si>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</si>
  <si>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</si>
  <si>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</si>
  <si>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</si>
  <si>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</si>
  <si>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</si>
  <si>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</si>
  <si>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</si>
  <si>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</si>
  <si>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</si>
  <si>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</si>
  <si>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</si>
  <si>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</si>
  <si>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</si>
  <si>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</si>
  <si>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</si>
  <si>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</si>
  <si>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</si>
  <si>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</si>
  <si>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</si>
  <si>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</si>
  <si>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</si>
  <si>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</si>
  <si>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</si>
  <si>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</si>
  <si>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</si>
  <si>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</si>
  <si>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</si>
  <si>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</si>
  <si>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</si>
  <si>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</si>
  <si>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</si>
  <si>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</si>
  <si>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</si>
  <si>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</si>
  <si>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</si>
  <si>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</si>
  <si>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</si>
  <si>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</si>
  <si>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</si>
  <si>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</si>
  <si>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</si>
  <si>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</si>
  <si>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</si>
  <si>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</si>
  <si>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</si>
  <si>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</si>
  <si>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</si>
  <si>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</si>
  <si>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</si>
  <si>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</si>
  <si>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</si>
  <si>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</si>
  <si>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</si>
  <si>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</si>
  <si>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</si>
  <si>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</si>
  <si>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</si>
  <si>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</si>
  <si>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</si>
  <si>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</si>
  <si>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</si>
  <si>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</si>
  <si>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</si>
  <si>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</si>
  <si>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</si>
  <si>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</si>
  <si>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</si>
  <si>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</si>
  <si>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</si>
  <si>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</si>
  <si>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</si>
  <si>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</si>
  <si>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</si>
  <si>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</si>
  <si>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</si>
  <si>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</si>
  <si>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</si>
  <si>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</si>
  <si>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</si>
  <si>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</si>
  <si>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</si>
  <si>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</si>
  <si>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</si>
  <si>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</si>
  <si>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</si>
  <si>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</si>
  <si>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</si>
  <si>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</si>
  <si>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</si>
  <si>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</si>
  <si>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</si>
  <si>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</si>
  <si>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</si>
  <si>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</si>
  <si>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</si>
  <si>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</si>
  <si>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</si>
  <si>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</si>
  <si>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</si>
  <si>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</si>
  <si>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</si>
  <si>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</si>
  <si>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</si>
  <si>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</si>
  <si>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</si>
  <si>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</si>
  <si>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</si>
  <si>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</si>
  <si>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</si>
  <si>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</si>
  <si>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</si>
  <si>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</si>
  <si>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</si>
  <si>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</si>
  <si>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</si>
  <si>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</si>
  <si>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</si>
  <si>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</si>
  <si>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</si>
  <si>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</si>
  <si>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</si>
  <si>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</si>
  <si>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</si>
  <si>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</si>
  <si>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</si>
  <si>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</si>
  <si>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</si>
  <si>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</si>
  <si>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</si>
  <si>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</si>
  <si>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</si>
  <si>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</si>
  <si>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</si>
  <si>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</si>
  <si>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</si>
  <si>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</si>
  <si>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</si>
  <si>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</si>
  <si>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</si>
  <si>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</si>
  <si>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</si>
  <si>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</si>
  <si>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</si>
  <si>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</si>
  <si>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</si>
  <si>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</si>
  <si>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</si>
  <si>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</si>
  <si>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</si>
  <si>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</si>
  <si>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</si>
  <si>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</si>
  <si>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</si>
  <si>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</si>
  <si>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</si>
  <si>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</si>
  <si>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</si>
  <si>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</si>
  <si>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</si>
  <si>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</si>
  <si>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</si>
  <si>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</si>
  <si>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</si>
  <si>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</si>
  <si>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</si>
  <si>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</si>
  <si>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</si>
  <si>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</si>
  <si>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</si>
  <si>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</si>
  <si>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</si>
  <si>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</si>
  <si>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</si>
  <si>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</si>
  <si>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</si>
  <si>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</si>
  <si>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</si>
  <si>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</si>
  <si>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</si>
  <si>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</si>
  <si>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</si>
  <si>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</si>
  <si>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</si>
  <si>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</si>
  <si>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</si>
  <si>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</si>
  <si>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</si>
  <si>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</si>
  <si>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</si>
  <si>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</si>
  <si>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</si>
  <si>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</si>
  <si>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</si>
  <si>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</si>
  <si>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</si>
  <si>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</si>
  <si>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</si>
  <si>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</si>
  <si>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</si>
  <si>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</si>
  <si>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</si>
  <si>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</si>
  <si>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</si>
  <si>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</si>
  <si>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</si>
  <si>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</si>
  <si>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</si>
  <si>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</si>
  <si>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</si>
  <si>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</si>
  <si>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</si>
  <si>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</si>
  <si>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</si>
  <si>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</si>
  <si>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</si>
  <si>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</si>
  <si>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</si>
  <si>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</si>
  <si>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</si>
  <si>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</si>
  <si>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</si>
  <si>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</si>
  <si>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</si>
  <si>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</si>
  <si>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</si>
  <si>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</si>
  <si>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</si>
  <si>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</si>
  <si>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</si>
  <si>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</si>
  <si>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</si>
  <si>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</si>
  <si>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</si>
  <si>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</si>
  <si>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</si>
  <si>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</si>
  <si>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</si>
  <si>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</si>
  <si>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</si>
  <si>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</si>
  <si>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</si>
  <si>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</si>
  <si>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</si>
  <si>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</si>
  <si>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</si>
  <si>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</si>
  <si>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</si>
  <si>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</si>
  <si>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</si>
  <si>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</si>
  <si>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</si>
  <si>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</si>
  <si>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</si>
  <si>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</si>
  <si>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</si>
  <si>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</si>
  <si>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</si>
  <si>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</si>
  <si>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</si>
  <si>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</si>
  <si>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</si>
  <si>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</si>
  <si>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</si>
  <si>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</si>
  <si>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</si>
  <si>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</si>
  <si>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</si>
  <si>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</si>
  <si>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</si>
  <si>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</si>
  <si>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</si>
  <si>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</si>
  <si>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</si>
  <si>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</si>
  <si>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</si>
  <si>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</si>
  <si>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</si>
  <si>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</si>
  <si>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</si>
  <si>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</si>
  <si>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</si>
  <si>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</si>
  <si>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</si>
  <si>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</si>
  <si>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</si>
  <si>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</si>
  <si>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</si>
  <si>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</si>
  <si>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</si>
  <si>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</si>
  <si>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</si>
  <si>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</si>
  <si>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</si>
  <si>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</si>
  <si>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</si>
  <si>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</si>
  <si>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</si>
  <si>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</si>
  <si>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</si>
  <si>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</si>
  <si>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</si>
  <si>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</si>
  <si>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</si>
  <si>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</si>
  <si>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</si>
  <si>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</si>
  <si>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</si>
  <si>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</si>
  <si>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</si>
  <si>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</si>
  <si>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</si>
  <si>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</si>
  <si>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</si>
  <si>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</si>
  <si>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</si>
  <si>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</si>
  <si>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</si>
  <si>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</si>
  <si>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</si>
  <si>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</si>
  <si>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</si>
  <si>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</si>
  <si>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</si>
  <si>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</si>
  <si>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</si>
  <si>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</si>
  <si>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</si>
  <si>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</si>
  <si>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</si>
  <si>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</si>
  <si>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</si>
  <si>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</si>
  <si>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</si>
  <si>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</si>
  <si>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</si>
  <si>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</si>
  <si>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</si>
  <si>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</si>
  <si>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</si>
  <si>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</si>
  <si>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</si>
  <si>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</si>
  <si>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</si>
  <si>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</si>
  <si>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</si>
  <si>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</si>
  <si>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</si>
  <si>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</si>
  <si>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</si>
  <si>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</si>
  <si>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</si>
  <si>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</si>
  <si>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</si>
  <si>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</si>
  <si>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</si>
  <si>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</si>
  <si>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</si>
  <si>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</si>
  <si>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</si>
  <si>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</si>
  <si>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</si>
  <si>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</si>
  <si>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</si>
  <si>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</si>
  <si>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</si>
  <si>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</si>
  <si>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</si>
  <si>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</si>
  <si>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</si>
  <si>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</si>
  <si>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</si>
  <si>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</si>
  <si>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</si>
  <si>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</si>
  <si>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</si>
  <si>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</si>
  <si>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</si>
  <si>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</si>
  <si>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</si>
  <si>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</si>
  <si>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</si>
  <si>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</si>
  <si>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</si>
  <si>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</si>
  <si>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</si>
  <si>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</si>
  <si>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</si>
  <si>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</si>
  <si>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</si>
  <si>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</si>
  <si>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</si>
  <si>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</si>
  <si>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</si>
  <si>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</si>
  <si>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</si>
  <si>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</si>
  <si>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</si>
  <si>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</si>
  <si>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</si>
  <si>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</si>
  <si>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</si>
  <si>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</si>
  <si>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</si>
  <si>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</si>
  <si>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</si>
  <si>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</si>
  <si>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</si>
  <si>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</si>
  <si>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</si>
  <si>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</si>
  <si>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</si>
  <si>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</si>
  <si>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</si>
  <si>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</si>
  <si>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</si>
  <si>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</si>
  <si>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</si>
  <si>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</si>
  <si>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</si>
  <si>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</si>
  <si>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</si>
  <si>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</si>
  <si>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</si>
  <si>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</si>
  <si>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</si>
  <si>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</si>
  <si>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</si>
  <si>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</si>
  <si>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</si>
  <si>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</si>
  <si>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</si>
  <si>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</si>
  <si>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</si>
  <si>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</si>
  <si>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</si>
  <si>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</si>
  <si>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</si>
  <si>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</si>
  <si>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</si>
  <si>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</si>
  <si>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</si>
  <si>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</si>
  <si>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</si>
  <si>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</si>
  <si>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</si>
  <si>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</si>
  <si>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</si>
  <si>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</si>
  <si>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</si>
  <si>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</si>
  <si>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</si>
  <si>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</si>
  <si>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</si>
  <si>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</si>
  <si>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</si>
  <si>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</si>
  <si>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</si>
  <si>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</si>
  <si>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</si>
  <si>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</si>
  <si>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</si>
  <si>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</si>
  <si>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</si>
  <si>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</si>
  <si>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</si>
  <si>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</si>
  <si>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</si>
  <si>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</si>
  <si>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</si>
  <si>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</si>
  <si>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</si>
  <si>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</si>
  <si>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</si>
  <si>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</si>
  <si>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</si>
  <si>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</si>
  <si>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</si>
  <si>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</si>
  <si>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</si>
  <si>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</si>
  <si>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</si>
  <si>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</si>
  <si>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</si>
  <si>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</si>
  <si>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</si>
  <si>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</si>
  <si>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</si>
  <si>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</si>
  <si>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</si>
  <si>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</si>
  <si>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</si>
  <si>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</si>
  <si>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</si>
  <si>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</si>
  <si>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</si>
  <si>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</si>
  <si>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</si>
  <si>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</si>
  <si>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</si>
  <si>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</si>
  <si>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</si>
  <si>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</si>
  <si>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</si>
  <si>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</si>
  <si>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</si>
  <si>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</si>
  <si>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</si>
  <si>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</si>
  <si>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</si>
  <si>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</si>
  <si>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</si>
  <si>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</si>
  <si>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</si>
  <si>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</si>
  <si>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</si>
  <si>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</si>
  <si>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</si>
  <si>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</si>
  <si>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</si>
  <si>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</si>
  <si>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</si>
  <si>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</si>
  <si>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</si>
  <si>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</si>
  <si>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</si>
  <si>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</si>
  <si>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</si>
  <si>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</si>
  <si>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</si>
  <si>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</si>
  <si>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</si>
  <si>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</si>
  <si>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</si>
  <si>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</si>
  <si>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</si>
  <si>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</si>
  <si>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</si>
  <si>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</si>
  <si>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</si>
  <si>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</si>
  <si>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</si>
  <si>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</si>
  <si>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</si>
  <si>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</si>
  <si>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</si>
  <si>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</si>
  <si>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</si>
  <si>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</si>
  <si>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</si>
  <si>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</si>
  <si>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</si>
  <si>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</si>
  <si>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</si>
  <si>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</si>
  <si>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</si>
  <si>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</si>
  <si>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</si>
  <si>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</si>
  <si>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</si>
  <si>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</si>
  <si>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</si>
  <si>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</si>
  <si>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</si>
  <si>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</si>
  <si>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</si>
  <si>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</si>
  <si>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</si>
  <si>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</si>
  <si>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</si>
  <si>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</si>
  <si>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</si>
  <si>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</si>
  <si>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</si>
  <si>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</si>
  <si>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</si>
  <si>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</si>
  <si>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</si>
  <si>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</si>
  <si>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</si>
  <si>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</si>
  <si>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</si>
  <si>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</si>
  <si>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</si>
  <si>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</si>
  <si>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</si>
  <si>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</si>
  <si>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</si>
  <si>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</si>
  <si>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</si>
  <si>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</si>
  <si>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</si>
  <si>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</si>
  <si>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</si>
  <si>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</si>
  <si>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</si>
  <si>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</si>
  <si>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</si>
  <si>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</si>
  <si>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</si>
  <si>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</si>
  <si>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</si>
  <si>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</si>
  <si>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</si>
  <si>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</si>
  <si>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</si>
  <si>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</si>
  <si>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</si>
  <si>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</si>
  <si>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</si>
  <si>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</si>
  <si>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</si>
  <si>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</si>
  <si>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</si>
  <si>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</si>
  <si>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</si>
  <si>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</si>
  <si>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</si>
  <si>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</si>
  <si>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</si>
  <si>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</si>
  <si>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</si>
  <si>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</si>
  <si>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</si>
  <si>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</si>
  <si>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</si>
  <si>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</si>
  <si>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</si>
  <si>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</si>
  <si>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</si>
  <si>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</si>
  <si>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</si>
  <si>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</si>
  <si>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</si>
  <si>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</si>
  <si>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</si>
  <si>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</si>
  <si>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</si>
  <si>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</si>
  <si>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</si>
  <si>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</si>
  <si>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</si>
  <si>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</si>
  <si>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</si>
  <si>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</si>
  <si>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</si>
  <si>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</si>
  <si>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</si>
  <si>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</si>
  <si>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</si>
  <si>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</si>
  <si>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</si>
  <si>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</si>
  <si>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</si>
  <si>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</si>
  <si>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</si>
  <si>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</si>
  <si>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</si>
  <si>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</si>
  <si>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</si>
  <si>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</si>
  <si>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</si>
  <si>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</si>
  <si>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</si>
  <si>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</si>
  <si>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</si>
  <si>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</si>
  <si>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</si>
  <si>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</si>
  <si>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</si>
  <si>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</si>
  <si>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</si>
  <si>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</si>
  <si>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</si>
  <si>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</si>
  <si>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</si>
  <si>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</si>
  <si>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</si>
  <si>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</si>
  <si>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</si>
  <si>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</si>
  <si>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</si>
  <si>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</si>
  <si>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</si>
  <si>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</si>
  <si>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</si>
  <si>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</si>
  <si>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</si>
  <si>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</si>
  <si>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</si>
  <si>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</si>
  <si>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</si>
  <si>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</si>
  <si>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</si>
  <si>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</si>
  <si>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</si>
  <si>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</si>
  <si>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</si>
  <si>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</si>
  <si>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</si>
  <si>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</si>
  <si>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</si>
  <si>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</si>
  <si>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</si>
  <si>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</si>
  <si>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</si>
  <si>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</si>
  <si>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</si>
  <si>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</si>
  <si>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</si>
  <si>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</si>
  <si>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</si>
  <si>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</si>
  <si>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</si>
  <si>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</si>
  <si>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</si>
  <si>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</si>
  <si>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</si>
  <si>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</si>
  <si>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</si>
  <si>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</si>
  <si>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</si>
  <si>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</si>
  <si>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</si>
  <si>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</si>
  <si>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</si>
  <si>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</si>
  <si>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</si>
  <si>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</si>
  <si>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</si>
  <si>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</si>
  <si>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</si>
  <si>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</si>
  <si>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</si>
  <si>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</si>
  <si>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</si>
  <si>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</si>
  <si>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</si>
  <si>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</si>
  <si>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</si>
  <si>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</si>
  <si>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</si>
  <si>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</si>
  <si>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</si>
  <si>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</si>
  <si>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</si>
  <si>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</si>
  <si>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</si>
  <si>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</si>
  <si>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</si>
  <si>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</si>
  <si>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</si>
  <si>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</si>
  <si>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</si>
  <si>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</si>
  <si>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</si>
  <si>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</si>
  <si>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</si>
  <si>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</si>
  <si>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</si>
  <si>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</si>
  <si>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</si>
  <si>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</si>
  <si>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</si>
  <si>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</si>
  <si>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</si>
  <si>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</si>
  <si>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</si>
  <si>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</si>
  <si>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</si>
  <si>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</si>
  <si>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</si>
  <si>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</si>
  <si>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</si>
  <si>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</si>
  <si>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</si>
  <si>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</si>
  <si>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</si>
  <si>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</si>
  <si>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</si>
  <si>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</si>
  <si>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</si>
  <si>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</si>
  <si>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</si>
  <si>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</si>
  <si>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</si>
  <si>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</si>
  <si>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</si>
  <si>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</si>
  <si>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</si>
  <si>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</si>
  <si>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</si>
  <si>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</si>
  <si>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</si>
  <si>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</si>
  <si>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</si>
  <si>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</si>
  <si>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</si>
  <si>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</si>
  <si>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</si>
  <si>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</si>
  <si>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</si>
  <si>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</si>
  <si>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</si>
  <si>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</si>
  <si>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</si>
  <si>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</si>
  <si>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</si>
  <si>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</si>
  <si>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</si>
  <si>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</si>
  <si>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</si>
  <si>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</si>
  <si>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</si>
  <si>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</si>
  <si>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</si>
  <si>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</si>
  <si>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</si>
  <si>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</si>
  <si>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</si>
  <si>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</si>
  <si>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</si>
  <si>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</si>
  <si>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</si>
  <si>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</si>
  <si>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</si>
  <si>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</si>
  <si>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</si>
  <si>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</si>
  <si>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</si>
  <si>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</si>
  <si>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</si>
  <si>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</si>
  <si>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</si>
  <si>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</si>
  <si>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</si>
  <si>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</si>
  <si>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</si>
  <si>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</si>
  <si>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</si>
  <si>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</si>
  <si>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</si>
  <si>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</si>
  <si>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</si>
  <si>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</si>
  <si>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</si>
  <si>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</si>
  <si>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</si>
  <si>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</si>
  <si>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</si>
  <si>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</si>
  <si>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</si>
  <si>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</si>
  <si>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</si>
  <si>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</si>
  <si>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</si>
  <si>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</si>
  <si>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</si>
  <si>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</si>
  <si>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</si>
  <si>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</si>
  <si>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</si>
  <si>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</si>
  <si>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</si>
  <si>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</si>
  <si>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</si>
  <si>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</si>
  <si>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</si>
  <si>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</si>
  <si>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</si>
  <si>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</si>
  <si>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</si>
  <si>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</si>
  <si>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</si>
  <si>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</si>
  <si>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</si>
  <si>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</si>
  <si>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</si>
  <si>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</si>
  <si>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</si>
  <si>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</si>
  <si>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</si>
  <si>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</si>
  <si>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</si>
  <si>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</si>
  <si>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</si>
  <si>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</si>
  <si>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</si>
  <si>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</si>
  <si>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</si>
  <si>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</si>
  <si>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</si>
  <si>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</si>
  <si>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</si>
  <si>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</si>
  <si>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</si>
  <si>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</si>
  <si>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</si>
  <si>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</si>
  <si>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</si>
  <si>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</si>
  <si>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</si>
  <si>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</si>
  <si>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</si>
  <si>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</si>
  <si>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</si>
  <si>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</si>
  <si>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</si>
  <si>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</si>
  <si>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</si>
  <si>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</si>
  <si>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</si>
  <si>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</si>
  <si>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</si>
  <si>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</si>
  <si>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</si>
  <si>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</si>
  <si>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</si>
  <si>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</si>
  <si>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</si>
  <si>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</si>
  <si>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</si>
  <si>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</si>
  <si>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</si>
  <si>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</si>
  <si>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</si>
  <si>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</si>
  <si>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</si>
  <si>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</si>
  <si>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</si>
  <si>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</si>
  <si>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</si>
  <si>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</si>
  <si>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</si>
  <si>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</si>
  <si>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</si>
  <si>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</si>
  <si>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</si>
  <si>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</si>
  <si>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</si>
  <si>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</si>
  <si>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</si>
  <si>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</si>
  <si>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</si>
  <si>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</si>
  <si>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</si>
  <si>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</si>
  <si>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</si>
  <si>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</si>
  <si>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</si>
  <si>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</si>
  <si>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</si>
  <si>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</si>
  <si>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</si>
  <si>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</si>
  <si>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</si>
  <si>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</si>
  <si>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</si>
  <si>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</si>
  <si>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</si>
  <si>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</si>
  <si>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</si>
  <si>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</si>
  <si>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</si>
  <si>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</si>
  <si>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</si>
  <si>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</si>
  <si>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</si>
  <si>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</si>
  <si>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</si>
  <si>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</si>
  <si>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</si>
  <si>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</si>
  <si>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</si>
  <si>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</si>
  <si>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</si>
  <si>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</si>
  <si>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</si>
  <si>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</si>
  <si>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</si>
  <si>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</si>
  <si>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</si>
  <si>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</si>
  <si>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</si>
  <si>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</si>
  <si>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</si>
  <si>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</si>
  <si>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</si>
  <si>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</si>
  <si>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</si>
  <si>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</si>
  <si>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</si>
  <si>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</si>
  <si>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</si>
  <si>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</si>
  <si>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</si>
  <si>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</si>
  <si>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</si>
  <si>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</si>
  <si>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</si>
  <si>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</si>
  <si>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</si>
  <si>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</si>
  <si>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</si>
  <si>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</si>
  <si>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</si>
  <si>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</si>
  <si>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</si>
  <si>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</si>
  <si>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</si>
  <si>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</si>
  <si>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</si>
  <si>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</si>
  <si>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</si>
  <si>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</si>
  <si>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</si>
  <si>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</si>
  <si>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</si>
  <si>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</si>
  <si>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</si>
  <si>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</si>
  <si>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</si>
  <si>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</si>
  <si>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</si>
  <si>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</si>
  <si>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</si>
  <si>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</si>
  <si>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</si>
  <si>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</si>
  <si>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</si>
  <si>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</si>
  <si>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</si>
  <si>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</si>
  <si>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</si>
  <si>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</si>
  <si>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</si>
  <si>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</si>
  <si>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</si>
  <si>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</si>
  <si>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</si>
  <si>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</si>
  <si>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</si>
  <si>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</si>
  <si>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</si>
  <si>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</si>
  <si>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</si>
  <si>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</si>
  <si>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</si>
  <si>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</si>
  <si>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</si>
  <si>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</si>
  <si>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</si>
  <si>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</si>
  <si>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</si>
  <si>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</si>
  <si>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</si>
  <si>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</si>
  <si>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</si>
  <si>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</si>
  <si>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</si>
  <si>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</si>
  <si>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</si>
  <si>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</si>
  <si>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</si>
  <si>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</si>
  <si>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</si>
  <si>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</si>
  <si>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</si>
  <si>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</si>
  <si>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</si>
  <si>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</si>
  <si>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</si>
  <si>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</si>
  <si>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</si>
  <si>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</si>
  <si>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</si>
  <si>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</si>
  <si>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</si>
  <si>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</si>
  <si>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</si>
  <si>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</si>
  <si>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</si>
  <si>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</si>
  <si>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</si>
  <si>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</si>
  <si>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</si>
  <si>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</si>
  <si>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</si>
  <si>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</si>
  <si>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</si>
  <si>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</si>
  <si>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</si>
  <si>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</si>
  <si>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</si>
  <si>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</si>
  <si>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</si>
  <si>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</si>
  <si>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</si>
  <si>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</si>
  <si>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</si>
  <si>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</si>
  <si>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</si>
  <si>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</si>
  <si>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</si>
  <si>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</si>
  <si>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</si>
  <si>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</si>
  <si>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</si>
  <si>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</si>
  <si>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</si>
  <si>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</si>
  <si>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</si>
  <si>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</si>
  <si>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</si>
  <si>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</si>
  <si>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</si>
  <si>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</si>
  <si>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</si>
  <si>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</si>
  <si>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</si>
  <si>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</si>
  <si>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</si>
  <si>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</si>
  <si>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</si>
  <si>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</si>
  <si>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</si>
  <si>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</si>
  <si>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</si>
  <si>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</si>
  <si>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</si>
  <si>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</si>
  <si>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</si>
  <si>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</si>
  <si>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</si>
  <si>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</si>
  <si>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</si>
  <si>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</si>
  <si>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</si>
  <si>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</si>
  <si>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</si>
  <si>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</si>
  <si>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</si>
  <si>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</si>
  <si>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</si>
  <si>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</si>
  <si>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</si>
  <si>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</si>
  <si>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</si>
  <si>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</si>
  <si>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</si>
  <si>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</si>
  <si>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</si>
  <si>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</si>
  <si>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</si>
  <si>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</si>
  <si>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</si>
  <si>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</si>
  <si>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</si>
  <si>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</si>
  <si>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</si>
  <si>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</si>
  <si>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</si>
  <si>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</si>
  <si>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</si>
  <si>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</si>
  <si>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</si>
  <si>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</si>
  <si>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</si>
  <si>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</si>
  <si>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</si>
  <si>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</si>
  <si>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</si>
  <si>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</si>
  <si>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</si>
  <si>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</si>
  <si>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</si>
  <si>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</si>
  <si>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</si>
  <si>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</si>
  <si>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</si>
  <si>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</si>
  <si>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</si>
  <si>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</si>
  <si>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</si>
  <si>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</si>
  <si>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</si>
  <si>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</si>
  <si>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</si>
  <si>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</si>
  <si>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</si>
  <si>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</si>
  <si>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</si>
  <si>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</si>
  <si>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</si>
  <si>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</si>
  <si>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</si>
  <si>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</si>
  <si>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</si>
  <si>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</si>
  <si>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</si>
  <si>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</si>
  <si>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</si>
  <si>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</si>
  <si>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</si>
  <si>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</si>
  <si>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</si>
  <si>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</si>
  <si>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</si>
  <si>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</si>
  <si>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</si>
  <si>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</si>
  <si>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</si>
  <si>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</si>
  <si>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</si>
  <si>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</si>
  <si>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</si>
  <si>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</si>
  <si>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</si>
  <si>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</si>
  <si>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</si>
  <si>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</si>
  <si>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</si>
  <si>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</si>
  <si>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</si>
  <si>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</si>
  <si>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</si>
  <si>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</si>
  <si>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</si>
  <si>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</si>
  <si>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</si>
  <si>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</si>
  <si>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</si>
  <si>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</si>
  <si>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</si>
  <si>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</si>
  <si>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</si>
  <si>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</si>
  <si>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</si>
  <si>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</si>
  <si>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</si>
  <si>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</si>
  <si>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</si>
  <si>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</si>
  <si>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</si>
  <si>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</si>
  <si>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</si>
  <si>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</si>
  <si>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</si>
  <si>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</si>
  <si>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</si>
  <si>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</si>
  <si>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</si>
  <si>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</si>
  <si>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</si>
  <si>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</si>
  <si>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</si>
  <si>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</si>
  <si>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</si>
  <si>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</si>
  <si>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</si>
  <si>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</si>
  <si>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</si>
  <si>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</si>
  <si>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</si>
  <si>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</si>
  <si>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</si>
  <si>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</si>
  <si>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</si>
  <si>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</si>
  <si>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</si>
  <si>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</si>
  <si>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</si>
  <si>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</si>
  <si>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</si>
  <si>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</si>
  <si>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</si>
  <si>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</si>
  <si>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</si>
  <si>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</si>
  <si>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</si>
  <si>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</si>
  <si>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</si>
  <si>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</si>
  <si>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</si>
  <si>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</si>
  <si>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</si>
  <si>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</si>
  <si>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</si>
  <si>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</si>
  <si>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</si>
  <si>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</si>
  <si>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</si>
  <si>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</si>
  <si>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</si>
  <si>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</si>
  <si>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</si>
  <si>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</si>
  <si>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</si>
  <si>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</si>
  <si>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</si>
  <si>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</si>
  <si>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</si>
  <si>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</si>
  <si>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</si>
  <si>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</si>
  <si>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</si>
  <si>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</si>
  <si>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</si>
  <si>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</si>
  <si>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</si>
  <si>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</si>
  <si>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</si>
  <si>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</si>
  <si>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</si>
  <si>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</si>
  <si>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</si>
  <si>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</si>
  <si>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</si>
  <si>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</si>
  <si>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</si>
  <si>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</si>
  <si>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</si>
  <si>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</si>
  <si>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</si>
  <si>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</si>
  <si>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</si>
  <si>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</si>
  <si>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</si>
  <si>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</si>
  <si>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</si>
  <si>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</si>
  <si>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</si>
  <si>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</si>
  <si>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</si>
  <si>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</si>
  <si>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</si>
  <si>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</si>
  <si>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</si>
  <si>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</si>
  <si>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</si>
  <si>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</si>
  <si>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</si>
  <si>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</si>
  <si>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</si>
  <si>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</si>
  <si>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</si>
  <si>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</si>
  <si>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</si>
  <si>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</si>
  <si>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</si>
  <si>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</si>
  <si>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</si>
  <si>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</si>
  <si>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</si>
  <si>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</si>
  <si>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</si>
  <si>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</si>
  <si>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</si>
  <si>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</si>
  <si>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</si>
  <si>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</si>
  <si>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</si>
  <si>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</si>
  <si>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</si>
  <si>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</si>
  <si>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</si>
  <si>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</si>
  <si>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</si>
  <si>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</si>
  <si>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</si>
  <si>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</si>
  <si>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</si>
  <si>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</si>
  <si>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</si>
  <si>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</si>
  <si>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</si>
  <si>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</si>
  <si>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</si>
  <si>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</si>
  <si>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</si>
  <si>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</si>
  <si>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</si>
  <si>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</si>
  <si>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</si>
  <si>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</si>
  <si>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</si>
  <si>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</si>
  <si>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</si>
  <si>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</si>
  <si>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</si>
  <si>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</si>
  <si>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</si>
  <si>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</si>
  <si>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</si>
  <si>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</si>
  <si>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</si>
  <si>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</si>
  <si>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</si>
  <si>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</si>
  <si>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</si>
  <si>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</si>
  <si>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</si>
  <si>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</si>
  <si>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</si>
  <si>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</si>
  <si>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</si>
  <si>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</si>
  <si>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</si>
  <si>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</si>
  <si>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</si>
  <si>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</si>
  <si>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</si>
  <si>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</si>
  <si>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</si>
  <si>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</si>
  <si>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</si>
  <si>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</si>
  <si>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</si>
  <si>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</si>
  <si>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</si>
  <si>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</si>
  <si>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</si>
  <si>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</si>
  <si>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</si>
  <si>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</si>
  <si>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</si>
  <si>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</si>
  <si>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</si>
  <si>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</si>
  <si>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</si>
  <si>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</si>
  <si>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</si>
  <si>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</si>
  <si>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</si>
  <si>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</si>
  <si>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</si>
  <si>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</si>
  <si>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</si>
  <si>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</si>
  <si>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</si>
  <si>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</si>
  <si>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</si>
  <si>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</si>
  <si>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</si>
  <si>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</si>
  <si>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</si>
  <si>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</si>
  <si>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</si>
  <si>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</si>
  <si>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</si>
  <si>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</si>
  <si>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</si>
  <si>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</si>
  <si>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</si>
  <si>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</si>
  <si>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</si>
  <si>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</si>
  <si>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</si>
  <si>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</si>
  <si>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</si>
  <si>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</si>
  <si>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</si>
  <si>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</si>
  <si>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</si>
  <si>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</si>
  <si>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</si>
  <si>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</si>
  <si>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</si>
  <si>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</si>
  <si>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</si>
  <si>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</si>
  <si>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</si>
  <si>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</si>
  <si>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</si>
  <si>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</si>
  <si>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</si>
  <si>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</si>
  <si>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</si>
  <si>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</si>
  <si>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</si>
  <si>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</si>
  <si>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</si>
  <si>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</si>
  <si>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</si>
  <si>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</si>
  <si>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</si>
  <si>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</si>
  <si>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</si>
  <si>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</si>
  <si>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</si>
  <si>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</si>
  <si>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</si>
  <si>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</si>
  <si>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</si>
  <si>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</si>
  <si>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</si>
  <si>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</si>
  <si>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</si>
  <si>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</si>
  <si>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</si>
  <si>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</si>
  <si>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</si>
  <si>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</si>
  <si>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</si>
  <si>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</si>
  <si>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</si>
  <si>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</si>
  <si>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</si>
  <si>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</si>
  <si>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</si>
  <si>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</si>
  <si>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</si>
  <si>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</si>
  <si>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</si>
  <si>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</si>
  <si>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</si>
  <si>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</si>
  <si>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</si>
  <si>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</si>
  <si>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</si>
  <si>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</si>
  <si>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</si>
  <si>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</si>
  <si>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</si>
  <si>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</si>
  <si>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</si>
  <si>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</si>
  <si>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</si>
  <si>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</si>
  <si>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</si>
  <si>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</si>
  <si>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</si>
  <si>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</si>
  <si>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</si>
  <si>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</si>
  <si>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</si>
  <si>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</si>
  <si>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</si>
  <si>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</si>
  <si>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</si>
  <si>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</si>
  <si>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</si>
  <si>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</si>
  <si>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</si>
  <si>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</si>
  <si>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</si>
  <si>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</si>
  <si>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</si>
  <si>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</si>
  <si>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</si>
  <si>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</si>
  <si>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</si>
  <si>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</si>
  <si>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</si>
  <si>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</si>
  <si>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</si>
  <si>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</si>
  <si>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</si>
  <si>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</si>
  <si>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</si>
  <si>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</si>
  <si>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</si>
  <si>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</si>
  <si>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</si>
  <si>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</si>
  <si>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</si>
  <si>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</si>
  <si>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</si>
  <si>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</si>
  <si>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</si>
  <si>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</si>
  <si>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</si>
  <si>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</si>
  <si>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</si>
  <si>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</si>
  <si>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</si>
  <si>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</si>
  <si>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</si>
  <si>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</si>
  <si>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</si>
  <si>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</si>
  <si>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</si>
  <si>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</si>
  <si>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</si>
  <si>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</si>
  <si>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</si>
  <si>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</si>
  <si>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</si>
  <si>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</si>
  <si>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</si>
  <si>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</si>
  <si>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</si>
  <si>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</si>
  <si>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</si>
  <si>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</si>
  <si>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</si>
  <si>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</si>
  <si>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</si>
  <si>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</si>
  <si>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</si>
  <si>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</si>
  <si>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</si>
  <si>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</si>
  <si>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</si>
  <si>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</si>
  <si>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</si>
  <si>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</si>
  <si>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</si>
  <si>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</si>
  <si>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</si>
  <si>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</si>
  <si>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</si>
  <si>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</si>
  <si>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</si>
  <si>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</si>
  <si>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</si>
  <si>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</si>
  <si>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</si>
  <si>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</si>
  <si>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</si>
  <si>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</si>
  <si>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</si>
  <si>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</si>
  <si>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</si>
  <si>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</si>
  <si>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</si>
  <si>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</si>
  <si>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</si>
  <si>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</si>
  <si>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</si>
  <si>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</si>
  <si>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</si>
  <si>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</si>
  <si>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</si>
  <si>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</si>
  <si>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</si>
  <si>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</si>
  <si>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</si>
  <si>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</si>
  <si>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</si>
  <si>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</si>
  <si>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</si>
  <si>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</si>
  <si>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</si>
  <si>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</si>
  <si>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</si>
  <si>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</si>
  <si>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</si>
  <si>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</si>
  <si>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</si>
  <si>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</si>
  <si>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</si>
  <si>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</si>
  <si>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</si>
  <si>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</si>
  <si>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</si>
  <si>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</si>
  <si>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</si>
  <si>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</si>
  <si>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</si>
  <si>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</si>
  <si>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</si>
  <si>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</si>
  <si>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</si>
  <si>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</si>
  <si>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</si>
  <si>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</si>
  <si>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</si>
  <si>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</si>
  <si>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</si>
  <si>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</si>
  <si>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</si>
  <si>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</si>
  <si>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</si>
  <si>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</si>
  <si>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</si>
  <si>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</si>
  <si>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</si>
  <si>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</si>
  <si>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</si>
  <si>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</si>
  <si>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</si>
  <si>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</si>
  <si>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</si>
  <si>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</si>
  <si>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</si>
  <si>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</si>
  <si>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</si>
  <si>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</si>
  <si>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</si>
  <si>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</si>
  <si>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</si>
  <si>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</si>
  <si>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</si>
  <si>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</si>
  <si>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</si>
  <si>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</si>
  <si>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</si>
  <si>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</si>
  <si>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</si>
  <si>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</si>
  <si>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</si>
  <si>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</si>
  <si>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</si>
  <si>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</si>
  <si>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</si>
  <si>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</si>
  <si>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</si>
  <si>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</si>
  <si>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</si>
  <si>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</si>
  <si>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</si>
  <si>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</si>
  <si>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</si>
  <si>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</si>
  <si>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</si>
  <si>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</si>
  <si>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</si>
  <si>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</si>
  <si>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</si>
  <si>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</si>
  <si>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</si>
  <si>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</si>
  <si>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</si>
  <si>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</si>
  <si>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</si>
  <si>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</si>
  <si>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</si>
  <si>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</si>
  <si>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</si>
  <si>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</si>
  <si>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</si>
  <si>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</si>
  <si>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</si>
  <si>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</si>
  <si>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</si>
  <si>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</si>
  <si>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</si>
  <si>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</si>
  <si>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</si>
  <si>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</si>
  <si>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</si>
  <si>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</si>
  <si>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</si>
  <si>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</si>
  <si>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</si>
  <si>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</si>
  <si>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</si>
  <si>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</si>
  <si>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</si>
  <si>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</si>
  <si>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</si>
  <si>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</si>
  <si>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</si>
  <si>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</si>
  <si>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</si>
  <si>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</si>
  <si>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</si>
  <si>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</si>
  <si>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</si>
  <si>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</si>
  <si>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</si>
  <si>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</si>
  <si>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</si>
  <si>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</si>
  <si>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</si>
  <si>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</si>
  <si>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</si>
  <si>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</si>
  <si>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</si>
  <si>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</si>
  <si>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</si>
  <si>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</si>
  <si>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</si>
  <si>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</si>
  <si>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</si>
  <si>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</si>
  <si>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</si>
  <si>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</si>
  <si>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</si>
  <si>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</si>
  <si>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</si>
  <si>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</si>
  <si>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</si>
  <si>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</si>
  <si>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</si>
  <si>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</si>
  <si>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</si>
  <si>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</si>
  <si>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</si>
  <si>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</si>
  <si>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</si>
  <si>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</si>
  <si>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</si>
  <si>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</si>
  <si>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</si>
  <si>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</si>
  <si>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</si>
  <si>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</si>
  <si>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</si>
  <si>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</si>
  <si>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</si>
  <si>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</si>
  <si>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</si>
  <si>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</si>
  <si>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</si>
  <si>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</si>
  <si>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</si>
  <si>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</si>
  <si>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</si>
  <si>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</si>
  <si>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</si>
  <si>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</si>
  <si>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</si>
  <si>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</si>
  <si>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</si>
  <si>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</si>
  <si>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</si>
  <si>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</si>
  <si>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</si>
  <si>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</si>
  <si>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</si>
  <si>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</si>
  <si>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</si>
  <si>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</si>
  <si>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</si>
  <si>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</si>
  <si>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</si>
  <si>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</si>
  <si>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</si>
  <si>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</si>
  <si>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</si>
  <si>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</si>
  <si>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</si>
  <si>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</si>
  <si>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</si>
  <si>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</si>
  <si>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</si>
  <si>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</si>
  <si>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</si>
  <si>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</si>
  <si>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</si>
  <si>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</si>
  <si>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</si>
  <si>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</si>
  <si>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</si>
  <si>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</si>
  <si>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</si>
  <si>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</si>
  <si>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</si>
  <si>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</si>
  <si>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</si>
  <si>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</si>
  <si>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</si>
  <si>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</si>
  <si>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</si>
  <si>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</si>
  <si>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</si>
  <si>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</si>
  <si>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</si>
  <si>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</si>
  <si>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</si>
  <si>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</si>
  <si>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</si>
  <si>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</si>
  <si>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</si>
  <si>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</si>
  <si>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</si>
  <si>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</si>
  <si>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</si>
  <si>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</si>
  <si>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</si>
  <si>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</si>
  <si>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</si>
  <si>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</si>
  <si>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</si>
  <si>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</si>
  <si>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</si>
  <si>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</si>
  <si>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</si>
  <si>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</si>
  <si>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</si>
  <si>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</si>
  <si>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</si>
  <si>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</si>
  <si>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</si>
  <si>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</si>
  <si>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</si>
  <si>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</si>
  <si>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</si>
  <si>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</si>
  <si>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</si>
  <si>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</si>
  <si>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</si>
  <si>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</si>
  <si>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</si>
  <si>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</si>
  <si>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</si>
  <si>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</si>
  <si>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</si>
  <si>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</si>
  <si>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</si>
  <si>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</si>
  <si>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</si>
  <si>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</si>
  <si>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</si>
  <si>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</si>
  <si>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</si>
  <si>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</si>
  <si>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</si>
  <si>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</si>
  <si>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</si>
  <si>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</si>
  <si>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</si>
  <si>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</si>
  <si>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</si>
  <si>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</si>
  <si>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</si>
  <si>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</si>
  <si>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</si>
  <si>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</si>
  <si>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</si>
  <si>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</si>
  <si>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</si>
  <si>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</si>
  <si>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</si>
  <si>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</si>
  <si>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</si>
  <si>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</si>
  <si>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</si>
  <si>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</si>
  <si>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</si>
  <si>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</si>
  <si>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</si>
  <si>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</si>
  <si>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</si>
  <si>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</si>
  <si>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</si>
  <si>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</si>
  <si>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</si>
  <si>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</si>
  <si>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</si>
  <si>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</si>
  <si>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</si>
  <si>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</si>
  <si>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</si>
  <si>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</si>
  <si>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</si>
  <si>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</si>
  <si>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</si>
  <si>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</si>
  <si>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</si>
  <si>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</si>
  <si>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</si>
  <si>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</si>
  <si>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</si>
  <si>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</si>
  <si>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</si>
  <si>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</si>
  <si>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</si>
  <si>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</si>
  <si>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</si>
  <si>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</si>
  <si>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</si>
  <si>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</si>
  <si>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</si>
  <si>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</si>
  <si>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</si>
  <si>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</si>
  <si>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</si>
  <si>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</si>
  <si>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</si>
  <si>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</si>
  <si>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</si>
  <si>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</si>
  <si>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</si>
  <si>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</si>
  <si>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</si>
  <si>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</si>
  <si>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</si>
  <si>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</si>
  <si>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</si>
  <si>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</si>
  <si>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</si>
  <si>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</si>
  <si>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</si>
  <si>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</si>
  <si>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</si>
  <si>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</si>
  <si>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</si>
  <si>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</si>
  <si>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</si>
  <si>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</si>
  <si>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</si>
  <si>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</si>
  <si>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</si>
  <si>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</si>
  <si>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</si>
  <si>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</si>
  <si>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</si>
  <si>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</si>
  <si>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</si>
  <si>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</si>
  <si>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</si>
  <si>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</si>
  <si>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</si>
  <si>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</si>
  <si>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</si>
  <si>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</si>
  <si>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</si>
  <si>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</si>
  <si>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</si>
  <si>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</si>
  <si>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</si>
  <si>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</si>
  <si>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</si>
  <si>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</si>
  <si>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</si>
  <si>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</si>
  <si>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</si>
  <si>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</si>
  <si>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</si>
  <si>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</si>
  <si>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</si>
  <si>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</si>
  <si>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</si>
  <si>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</si>
  <si>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</si>
  <si>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</si>
  <si>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</si>
  <si>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</si>
  <si>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</si>
  <si>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</si>
  <si>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</si>
  <si>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</si>
  <si>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</si>
  <si>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</si>
  <si>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</si>
  <si>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</si>
  <si>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</si>
  <si>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</si>
  <si>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</si>
  <si>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</si>
  <si>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</si>
  <si>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</si>
  <si>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</si>
  <si>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</si>
  <si>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</si>
  <si>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</si>
  <si>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</si>
  <si>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</si>
  <si>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</si>
  <si>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</si>
  <si>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</si>
  <si>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</si>
  <si>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</si>
  <si>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</si>
  <si>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</si>
  <si>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</si>
  <si>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</si>
  <si>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</si>
  <si>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</si>
  <si>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</si>
  <si>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</si>
  <si>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</si>
  <si>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</si>
  <si>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</si>
  <si>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</si>
  <si>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</si>
  <si>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</si>
  <si>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</si>
  <si>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</si>
  <si>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</si>
  <si>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</si>
  <si>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</si>
  <si>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</si>
  <si>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</si>
  <si>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</si>
  <si>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</si>
  <si>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</si>
  <si>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</si>
  <si>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</si>
  <si>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</si>
  <si>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</si>
  <si>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</si>
  <si>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</si>
  <si>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</si>
  <si>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</si>
  <si>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</si>
  <si>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</si>
  <si>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</si>
  <si>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</si>
  <si>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</si>
  <si>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</si>
  <si>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</si>
  <si>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</si>
  <si>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</si>
  <si>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</si>
  <si>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</si>
  <si>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</si>
  <si>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</si>
  <si>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</si>
  <si>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</si>
  <si>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</si>
  <si>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</si>
  <si>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</si>
  <si>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</si>
  <si>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</si>
  <si>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</si>
  <si>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</si>
  <si>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</si>
  <si>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</si>
  <si>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</si>
  <si>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</si>
  <si>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</si>
  <si>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</si>
  <si>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</si>
  <si>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</si>
  <si>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</si>
  <si>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</si>
  <si>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</si>
  <si>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</si>
  <si>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</si>
  <si>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</si>
  <si>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</si>
  <si>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</si>
  <si>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</si>
  <si>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</si>
  <si>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</si>
  <si>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</si>
  <si>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</si>
  <si>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</si>
  <si>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</si>
  <si>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</si>
  <si>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</si>
  <si>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</si>
  <si>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</si>
  <si>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</si>
  <si>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</si>
  <si>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</si>
  <si>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</si>
  <si>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</si>
  <si>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</si>
  <si>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</si>
  <si>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</si>
  <si>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</si>
  <si>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</si>
  <si>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</si>
  <si>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</si>
  <si>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</si>
  <si>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</si>
  <si>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</si>
  <si>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</si>
  <si>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</si>
  <si>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</si>
  <si>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</si>
  <si>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</si>
  <si>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</si>
  <si>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</si>
  <si>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</si>
  <si>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</si>
  <si>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</si>
  <si>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</si>
  <si>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</si>
  <si>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</si>
  <si>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</si>
  <si>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</si>
  <si>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</si>
  <si>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</si>
  <si>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</si>
  <si>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</si>
  <si>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</si>
  <si>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</si>
  <si>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</si>
  <si>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</si>
  <si>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</si>
  <si>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</si>
  <si>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</si>
  <si>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</si>
  <si>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</si>
  <si>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</si>
  <si>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</si>
  <si>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</si>
  <si>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</si>
  <si>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</si>
  <si>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</si>
  <si>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</si>
  <si>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</si>
  <si>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</si>
  <si>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</si>
  <si>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</si>
  <si>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</si>
  <si>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</si>
  <si>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</si>
  <si>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</si>
  <si>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</si>
  <si>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</si>
  <si>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</si>
  <si>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</si>
  <si>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</si>
  <si>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</si>
  <si>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</si>
  <si>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</si>
  <si>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</si>
  <si>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</si>
  <si>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</si>
  <si>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</si>
  <si>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</si>
  <si>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</si>
  <si>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</si>
  <si>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</si>
  <si>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</si>
  <si>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</si>
  <si>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</si>
  <si>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</si>
  <si>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</si>
  <si>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</si>
  <si>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</si>
  <si>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</si>
  <si>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</si>
  <si>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</si>
  <si>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</si>
  <si>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</si>
  <si>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</si>
  <si>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</si>
  <si>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</si>
  <si>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</si>
  <si>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</si>
  <si>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</si>
  <si>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</si>
  <si>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</si>
  <si>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</si>
  <si>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</si>
  <si>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</si>
  <si>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</si>
  <si>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</si>
  <si>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</si>
  <si>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</si>
  <si>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</si>
  <si>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</si>
  <si>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</si>
  <si>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</si>
  <si>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</si>
  <si>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</si>
  <si>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</si>
  <si>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</si>
  <si>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</si>
  <si>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</si>
  <si>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</si>
  <si>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</si>
  <si>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</si>
  <si>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</si>
  <si>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</si>
  <si>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</si>
  <si>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</si>
  <si>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</si>
  <si>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</si>
  <si>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</si>
  <si>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</si>
  <si>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</si>
  <si>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</si>
  <si>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</si>
  <si>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</si>
  <si>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</si>
  <si>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</si>
  <si>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</si>
  <si>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</si>
  <si>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</si>
  <si>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</si>
  <si>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</si>
  <si>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</si>
  <si>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</si>
  <si>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</si>
  <si>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</si>
  <si>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</si>
  <si>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</si>
  <si>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</si>
  <si>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</si>
  <si>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</si>
  <si>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</si>
  <si>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</si>
  <si>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</si>
  <si>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</si>
  <si>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</si>
  <si>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</si>
  <si>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</si>
  <si>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</si>
  <si>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</si>
  <si>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</si>
  <si>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</si>
  <si>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</si>
  <si>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</si>
  <si>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</si>
  <si>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</si>
  <si>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</si>
  <si>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</si>
  <si>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</si>
  <si>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</si>
  <si>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</si>
  <si>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</si>
  <si>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</si>
  <si>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</si>
  <si>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</si>
  <si>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</si>
  <si>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</si>
  <si>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</si>
  <si>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</si>
  <si>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</si>
  <si>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</si>
  <si>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</si>
  <si>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</si>
  <si>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</si>
  <si>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</si>
  <si>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</si>
  <si>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</si>
  <si>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</si>
  <si>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</si>
  <si>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</si>
  <si>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</si>
  <si>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</si>
  <si>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</si>
  <si>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</si>
  <si>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</si>
  <si>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</si>
  <si>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</si>
  <si>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</si>
  <si>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</si>
  <si>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</si>
  <si>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</si>
  <si>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</si>
  <si>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</si>
  <si>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</si>
  <si>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</si>
  <si>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</si>
  <si>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</si>
  <si>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</si>
  <si>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</si>
  <si>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</si>
  <si>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</si>
  <si>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</si>
  <si>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</si>
  <si>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</si>
  <si>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</si>
  <si>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</si>
  <si>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</si>
  <si>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</si>
  <si>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</si>
  <si>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</si>
  <si>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</si>
  <si>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</si>
  <si>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</si>
  <si>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</si>
  <si>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</si>
  <si>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</si>
  <si>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</si>
  <si>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</si>
  <si>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</si>
  <si>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</si>
  <si>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</si>
  <si>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</si>
  <si>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</si>
  <si>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</si>
  <si>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</si>
  <si>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</si>
  <si>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</si>
  <si>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</si>
  <si>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</si>
  <si>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</si>
  <si>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</si>
  <si>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</si>
  <si>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</si>
  <si>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</si>
  <si>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</si>
  <si>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</si>
  <si>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</si>
  <si>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</si>
  <si>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</si>
  <si>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</si>
  <si>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</si>
  <si>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</si>
  <si>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</si>
  <si>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</si>
  <si>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</si>
  <si>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</si>
  <si>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</si>
  <si>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</si>
  <si>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</si>
  <si>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</si>
  <si>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</si>
  <si>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</si>
  <si>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</si>
  <si>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</si>
  <si>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</si>
  <si>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</si>
  <si>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</si>
  <si>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</si>
  <si>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</si>
  <si>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</si>
  <si>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</si>
  <si>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</si>
  <si>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</si>
  <si>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</si>
  <si>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</si>
  <si>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</si>
  <si>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</si>
  <si>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</si>
  <si>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</si>
  <si>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</si>
  <si>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</si>
  <si>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</si>
  <si>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</si>
  <si>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</si>
  <si>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</si>
  <si>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</si>
  <si>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</si>
  <si>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</si>
  <si>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</si>
  <si>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</si>
  <si>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</si>
  <si>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</si>
  <si>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</si>
  <si>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</si>
  <si>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</si>
  <si>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</si>
  <si>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</si>
  <si>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</si>
  <si>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</si>
  <si>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</si>
  <si>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</si>
  <si>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</si>
  <si>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</si>
  <si>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</si>
  <si>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</si>
  <si>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</si>
  <si>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</si>
  <si>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</si>
  <si>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</si>
  <si>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</si>
  <si>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</si>
  <si>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</si>
  <si>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</si>
  <si>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</si>
  <si>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</si>
  <si>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</si>
  <si>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</si>
  <si>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</si>
  <si>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</si>
  <si>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</si>
  <si>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</si>
  <si>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</si>
  <si>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</si>
  <si>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</si>
  <si>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</si>
  <si>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</si>
  <si>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</si>
  <si>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</si>
  <si>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</si>
  <si>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</si>
  <si>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</si>
  <si>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</si>
  <si>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</si>
  <si>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</si>
  <si>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</si>
  <si>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</si>
  <si>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</si>
  <si>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</si>
  <si>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</si>
  <si>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</si>
  <si>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</si>
  <si>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</si>
  <si>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</si>
  <si>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</si>
  <si>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</si>
  <si>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</si>
  <si>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</si>
  <si>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</si>
  <si>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</si>
  <si>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</si>
  <si>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</si>
  <si>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</si>
  <si>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</si>
  <si>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</si>
  <si>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</si>
  <si>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</si>
  <si>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</si>
  <si>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</si>
  <si>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</si>
  <si>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</si>
  <si>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</si>
  <si>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</si>
  <si>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</si>
  <si>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</si>
  <si>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</si>
  <si>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</si>
  <si>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</si>
  <si>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</si>
  <si>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</si>
  <si>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</si>
  <si>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</si>
  <si>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</si>
  <si>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</si>
  <si>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</si>
  <si>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</si>
  <si>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</si>
  <si>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</si>
  <si>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</si>
  <si>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</si>
  <si>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</si>
  <si>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</si>
  <si>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</si>
  <si>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</si>
  <si>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</si>
  <si>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</si>
  <si>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</si>
  <si>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</si>
  <si>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</si>
  <si>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</si>
  <si>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</si>
  <si>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</si>
  <si>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</si>
  <si>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</si>
  <si>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</si>
  <si>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</si>
  <si>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</si>
  <si>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</si>
  <si>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</si>
  <si>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</si>
  <si>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</si>
  <si>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</si>
  <si>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</si>
  <si>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</si>
  <si>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</si>
  <si>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</si>
  <si>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</si>
  <si>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</si>
  <si>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</si>
  <si>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</si>
  <si>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</si>
  <si>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</si>
  <si>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</si>
  <si>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</si>
  <si>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</si>
  <si>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</si>
  <si>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</si>
  <si>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</si>
  <si>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</si>
  <si>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</si>
  <si>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</si>
  <si>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</si>
  <si>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</si>
  <si>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</si>
  <si>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</si>
  <si>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</si>
  <si>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</si>
  <si>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</si>
  <si>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</si>
  <si>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</si>
  <si>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</si>
  <si>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</si>
  <si>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</si>
  <si>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</si>
  <si>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</si>
  <si>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</si>
  <si>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</si>
  <si>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</si>
  <si>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</si>
  <si>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</si>
  <si>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</si>
  <si>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</si>
  <si>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</si>
  <si>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</si>
  <si>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</si>
  <si>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</si>
  <si>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</si>
  <si>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</si>
  <si>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</si>
  <si>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</si>
  <si>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</si>
  <si>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</si>
  <si>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</si>
  <si>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</si>
  <si>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</si>
  <si>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</si>
  <si>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</si>
  <si>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</si>
  <si>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</si>
  <si>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</si>
  <si>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</si>
  <si>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</si>
  <si>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</si>
  <si>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</si>
  <si>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</si>
  <si>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</si>
  <si>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</si>
  <si>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</si>
  <si>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</si>
  <si>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</si>
  <si>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</si>
  <si>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</si>
  <si>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</si>
  <si>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</si>
  <si>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</si>
  <si>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</si>
  <si>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</si>
  <si>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</si>
  <si>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</si>
  <si>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</si>
  <si>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</si>
  <si>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</si>
  <si>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</si>
  <si>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</si>
  <si>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</si>
  <si>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</si>
  <si>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</si>
  <si>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</si>
  <si>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</si>
  <si>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</si>
  <si>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</si>
  <si>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</si>
  <si>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</si>
  <si>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</si>
  <si>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</si>
  <si>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</si>
  <si>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</si>
  <si>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</si>
  <si>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</si>
  <si>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</si>
  <si>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</si>
  <si>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</si>
  <si>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</si>
  <si>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</si>
  <si>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</si>
  <si>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</si>
  <si>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</si>
  <si>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</si>
  <si>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</si>
  <si>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</si>
  <si>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</si>
  <si>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</si>
  <si>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</si>
  <si>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</si>
  <si>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</si>
  <si>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</si>
  <si>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</si>
  <si>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</si>
  <si>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</si>
  <si>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</si>
  <si>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</si>
  <si>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</si>
  <si>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</si>
  <si>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</si>
  <si>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</si>
  <si>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</si>
  <si>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</si>
  <si>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</si>
  <si>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</si>
  <si>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</si>
  <si>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</si>
  <si>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</si>
  <si>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</si>
  <si>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</si>
  <si>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</si>
  <si>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</si>
  <si>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</si>
  <si>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</si>
  <si>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</si>
  <si>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</si>
  <si>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</si>
  <si>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</si>
  <si>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</si>
  <si>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</si>
  <si>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</si>
  <si>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</si>
  <si>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</si>
  <si>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</si>
  <si>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</si>
  <si>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</si>
  <si>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</si>
  <si>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</si>
  <si>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</si>
  <si>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</si>
  <si>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</si>
  <si>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</si>
  <si>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</si>
  <si>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</si>
  <si>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</si>
  <si>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</si>
  <si>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</si>
  <si>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</si>
  <si>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</si>
  <si>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</si>
  <si>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</si>
  <si>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</si>
  <si>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</si>
  <si>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</si>
  <si>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</si>
  <si>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</si>
  <si>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</si>
  <si>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</si>
  <si>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</si>
  <si>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</si>
  <si>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</si>
  <si>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</si>
  <si>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</si>
  <si>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</si>
  <si>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</si>
  <si>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</si>
  <si>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</si>
  <si>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</si>
  <si>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</si>
  <si>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</si>
  <si>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</si>
  <si>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</si>
  <si>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</si>
  <si>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</si>
  <si>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</si>
  <si>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</si>
  <si>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</si>
  <si>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</si>
  <si>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</si>
  <si>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</si>
  <si>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</si>
  <si>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</si>
  <si>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</si>
  <si>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</si>
  <si>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</si>
  <si>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</si>
  <si>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</si>
  <si>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</si>
  <si>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</si>
  <si>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</si>
  <si>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</si>
  <si>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</si>
  <si>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</si>
  <si>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</si>
  <si>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</si>
  <si>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</si>
  <si>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</si>
  <si>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</si>
  <si>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</si>
  <si>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</si>
  <si>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</si>
  <si>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</si>
  <si>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</si>
  <si>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</si>
  <si>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</si>
  <si>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</si>
  <si>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</si>
  <si>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</si>
  <si>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</si>
  <si>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</si>
  <si>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</si>
  <si>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</si>
  <si>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</si>
  <si>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</si>
  <si>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</si>
  <si>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</si>
  <si>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</si>
  <si>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</si>
  <si>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</si>
  <si>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</si>
  <si>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</si>
  <si>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</si>
  <si>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</si>
  <si>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</si>
  <si>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</si>
  <si>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</si>
  <si>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</si>
  <si>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</si>
  <si>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</si>
  <si>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</si>
  <si>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</si>
  <si>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</si>
  <si>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</si>
  <si>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</si>
  <si>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</si>
  <si>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</si>
  <si>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</si>
  <si>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</si>
  <si>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</si>
  <si>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</si>
  <si>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</si>
  <si>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</si>
  <si>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</si>
  <si>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</si>
  <si>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</si>
  <si>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</si>
  <si>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</si>
  <si>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</si>
  <si>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</si>
  <si>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</si>
  <si>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</si>
  <si>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</si>
  <si>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</si>
  <si>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</si>
  <si>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</si>
  <si>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</si>
  <si>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</si>
  <si>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</si>
  <si>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</si>
  <si>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</si>
  <si>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</si>
  <si>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</si>
  <si>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</si>
  <si>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</si>
  <si>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</si>
  <si>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</si>
  <si>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</si>
  <si>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</si>
  <si>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</si>
  <si>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</si>
  <si>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</si>
  <si>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</si>
  <si>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</si>
  <si>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</si>
  <si>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</si>
  <si>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</si>
  <si>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</si>
  <si>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</si>
  <si>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</si>
  <si>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</si>
  <si>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</si>
  <si>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</si>
  <si>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</si>
  <si>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</si>
  <si>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</si>
  <si>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</si>
  <si>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</si>
  <si>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</si>
  <si>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</si>
  <si>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</si>
  <si>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</si>
  <si>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</si>
  <si>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</si>
  <si>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</si>
  <si>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</si>
  <si>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</si>
  <si>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</si>
  <si>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</si>
  <si>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</si>
  <si>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</si>
  <si>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</si>
  <si>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</si>
  <si>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</si>
  <si>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</si>
  <si>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</si>
  <si>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</si>
  <si>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</si>
  <si>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</si>
  <si>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</si>
  <si>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</si>
  <si>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</si>
  <si>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</si>
  <si>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</si>
  <si>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</si>
  <si>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</si>
  <si>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</si>
  <si>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</si>
  <si>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</si>
  <si>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</si>
  <si>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</si>
  <si>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</si>
  <si>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</si>
  <si>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</si>
  <si>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</si>
  <si>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</si>
  <si>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</si>
  <si>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</si>
  <si>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</si>
  <si>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</si>
  <si>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</si>
  <si>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</si>
  <si>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</si>
  <si>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</si>
  <si>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</si>
  <si>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</si>
  <si>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</si>
  <si>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</si>
  <si>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</si>
  <si>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</si>
  <si>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</si>
  <si>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</si>
  <si>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</si>
  <si>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</si>
  <si>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</si>
  <si>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</si>
  <si>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</si>
  <si>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</si>
  <si>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</si>
  <si>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</si>
  <si>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</si>
  <si>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</si>
  <si>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</si>
  <si>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</si>
  <si>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</si>
  <si>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</si>
  <si>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</si>
  <si>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</si>
  <si>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</si>
  <si>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</si>
  <si>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</si>
  <si>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</si>
  <si>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</si>
  <si>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</si>
  <si>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</si>
  <si>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</si>
  <si>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</si>
  <si>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</si>
  <si>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</si>
  <si>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</si>
  <si>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</si>
  <si>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</si>
  <si>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</si>
  <si>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</si>
  <si>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</si>
  <si>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</si>
  <si>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</si>
  <si>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</si>
  <si>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</si>
  <si>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</si>
  <si>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</si>
  <si>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</si>
  <si>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</si>
  <si>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</si>
  <si>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</si>
  <si>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</si>
  <si>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</si>
  <si>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</si>
  <si>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</si>
  <si>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</si>
  <si>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</si>
  <si>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</si>
  <si>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</si>
  <si>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</si>
  <si>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</si>
  <si>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</si>
  <si>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</si>
  <si>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</si>
  <si>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</si>
  <si>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</si>
  <si>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</si>
  <si>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</si>
  <si>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</si>
  <si>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</si>
  <si>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</si>
  <si>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</si>
  <si>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</si>
  <si>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</si>
  <si>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</si>
  <si>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</si>
  <si>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</si>
  <si>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</si>
  <si>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</si>
  <si>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</si>
  <si>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</si>
  <si>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</si>
  <si>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</si>
  <si>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</si>
  <si>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</si>
  <si>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</si>
  <si>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</si>
  <si>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</si>
  <si>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</si>
  <si>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</si>
  <si>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</si>
  <si>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</si>
  <si>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</si>
  <si>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</si>
  <si>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</si>
  <si>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</si>
  <si>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</si>
  <si>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</si>
  <si>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</si>
  <si>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</si>
  <si>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</si>
  <si>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</si>
  <si>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</si>
  <si>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</si>
  <si>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</si>
  <si>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</si>
  <si>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</si>
  <si>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</si>
  <si>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</si>
  <si>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</si>
  <si>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</si>
  <si>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</si>
  <si>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</si>
  <si>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</si>
  <si>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</si>
  <si>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</si>
  <si>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</si>
  <si>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</si>
  <si>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</si>
  <si>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</si>
  <si>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</si>
  <si>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</si>
  <si>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</si>
  <si>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</si>
  <si>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</si>
  <si>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</si>
  <si>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</si>
  <si>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</si>
  <si>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</si>
  <si>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</si>
  <si>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</si>
  <si>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</si>
  <si>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</si>
  <si>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</si>
  <si>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</si>
  <si>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</si>
  <si>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</si>
  <si>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</si>
  <si>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</si>
  <si>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</si>
  <si>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</si>
  <si>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</si>
  <si>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</si>
  <si>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</si>
  <si>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</si>
  <si>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</si>
  <si>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</si>
  <si>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</si>
  <si>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</si>
  <si>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</si>
  <si>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</si>
  <si>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</si>
  <si>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</si>
  <si>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</si>
  <si>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</si>
  <si>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</si>
  <si>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</si>
  <si>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</si>
  <si>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</si>
  <si>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</si>
  <si>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</si>
  <si>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</si>
  <si>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</si>
  <si>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</si>
  <si>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</si>
  <si>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</si>
  <si>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</si>
  <si>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</si>
  <si>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</si>
  <si>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</si>
  <si>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</si>
  <si>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</si>
  <si>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</si>
  <si>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</si>
  <si>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</si>
  <si>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</si>
  <si>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</si>
  <si>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</si>
  <si>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</si>
  <si>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</si>
  <si>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</si>
  <si>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</si>
  <si>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</si>
  <si>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</si>
  <si>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</si>
  <si>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</si>
  <si>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</si>
  <si>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</si>
  <si>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</si>
  <si>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</si>
  <si>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</si>
  <si>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</si>
  <si>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</si>
  <si>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</si>
  <si>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</si>
  <si>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</si>
  <si>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</si>
  <si>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</si>
  <si>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</si>
  <si>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</si>
  <si>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</si>
  <si>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</si>
  <si>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</si>
  <si>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</si>
  <si>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</si>
  <si>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</si>
  <si>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</si>
  <si>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</si>
  <si>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</si>
  <si>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</si>
  <si>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</si>
  <si>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</si>
  <si>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</si>
  <si>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</si>
  <si>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</si>
  <si>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</si>
  <si>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</si>
  <si>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</si>
  <si>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</si>
  <si>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</si>
  <si>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</si>
  <si>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</si>
  <si>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</si>
  <si>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</si>
  <si>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</si>
  <si>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</si>
  <si>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</si>
  <si>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</si>
  <si>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</si>
  <si>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</si>
  <si>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</si>
  <si>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</si>
  <si>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</si>
  <si>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</si>
  <si>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</si>
  <si>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</si>
  <si>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</si>
  <si>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</si>
  <si>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</si>
  <si>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</si>
  <si>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</si>
  <si>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</si>
  <si>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</si>
  <si>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</si>
  <si>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</si>
  <si>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</si>
  <si>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</si>
  <si>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</si>
  <si>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</si>
  <si>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</si>
  <si>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</si>
  <si>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</si>
  <si>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</si>
  <si>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</si>
  <si>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</si>
  <si>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</si>
  <si>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</si>
  <si>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</si>
  <si>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</si>
  <si>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</si>
  <si>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</si>
  <si>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</si>
  <si>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</si>
  <si>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</si>
  <si>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</si>
  <si>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</si>
  <si>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</si>
  <si>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</si>
  <si>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</si>
  <si>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</si>
  <si>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</si>
  <si>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</si>
  <si>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</si>
  <si>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</si>
  <si>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</si>
  <si>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</si>
  <si>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</si>
  <si>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</si>
  <si>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</si>
  <si>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</si>
  <si>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</si>
  <si>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</si>
  <si>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</si>
  <si>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</si>
  <si>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</si>
  <si>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</si>
  <si>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</si>
  <si>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</si>
  <si>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</si>
  <si>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</si>
  <si>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</si>
  <si>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</si>
  <si>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</si>
  <si>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</si>
  <si>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</si>
  <si>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</si>
  <si>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</si>
  <si>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</si>
  <si>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</si>
  <si>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</si>
  <si>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</si>
  <si>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</si>
  <si>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</si>
  <si>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</si>
  <si>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</si>
  <si>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</si>
  <si>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</si>
  <si>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</si>
  <si>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</si>
  <si>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</si>
  <si>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</si>
  <si>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</si>
  <si>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</si>
  <si>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</si>
  <si>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</si>
  <si>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</si>
  <si>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</si>
  <si>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</si>
  <si>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</si>
  <si>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</si>
  <si>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</si>
  <si>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</si>
  <si>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</si>
  <si>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</si>
  <si>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</si>
  <si>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</si>
  <si>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</si>
  <si>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</si>
  <si>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</si>
  <si>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</si>
  <si>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</si>
  <si>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</si>
  <si>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</si>
  <si>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</si>
  <si>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</si>
  <si>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</si>
  <si>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</si>
  <si>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</si>
  <si>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</si>
  <si>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</si>
  <si>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</si>
  <si>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</si>
  <si>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</si>
  <si>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</si>
  <si>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</si>
  <si>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</si>
  <si>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</si>
  <si>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</si>
  <si>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</si>
  <si>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</si>
  <si>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</si>
  <si>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</si>
  <si>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</si>
  <si>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</si>
  <si>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</si>
  <si>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</si>
  <si>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</si>
  <si>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</si>
  <si>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</si>
  <si>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</si>
  <si>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</si>
  <si>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</si>
  <si>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</si>
  <si>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</si>
  <si>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</si>
  <si>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</si>
  <si>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</si>
  <si>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</si>
  <si>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</si>
  <si>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</si>
  <si>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</si>
  <si>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</si>
  <si>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</si>
  <si>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</si>
  <si>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</si>
  <si>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</si>
  <si>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</si>
  <si>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</si>
  <si>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</si>
  <si>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</si>
  <si>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</si>
  <si>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</si>
  <si>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</si>
  <si>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</si>
  <si>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</si>
  <si>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</si>
  <si>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</si>
  <si>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</si>
  <si>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</si>
  <si>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</si>
  <si>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</si>
  <si>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</si>
  <si>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</si>
  <si>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</si>
  <si>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</si>
  <si>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</si>
  <si>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</si>
  <si>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</si>
  <si>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</si>
  <si>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</si>
  <si>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</si>
  <si>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</si>
  <si>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</si>
  <si>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</si>
  <si>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</si>
  <si>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</si>
  <si>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</si>
  <si>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</si>
  <si>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</si>
  <si>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</si>
  <si>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</si>
  <si>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</si>
  <si>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</si>
  <si>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</si>
  <si>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</si>
  <si>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</si>
  <si>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</si>
  <si>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</si>
  <si>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</si>
  <si>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</si>
  <si>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</si>
  <si>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</si>
  <si>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</si>
  <si>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</si>
  <si>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</si>
  <si>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</si>
  <si>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</si>
  <si>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</si>
  <si>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</si>
  <si>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</si>
  <si>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</si>
  <si>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</si>
  <si>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</si>
  <si>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</si>
  <si>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</si>
  <si>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</si>
  <si>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</si>
  <si>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</si>
  <si>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</si>
  <si>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</si>
  <si>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</si>
  <si>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</si>
  <si>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</si>
  <si>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</si>
  <si>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</si>
  <si>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</si>
  <si>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</si>
  <si>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</si>
  <si>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</si>
  <si>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</si>
  <si>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</si>
  <si>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</si>
  <si>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</si>
  <si>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</si>
  <si>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</si>
  <si>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</si>
  <si>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</si>
  <si>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</si>
  <si>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</si>
  <si>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</si>
  <si>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</si>
  <si>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</si>
  <si>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</si>
  <si>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</si>
  <si>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</si>
  <si>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</si>
  <si>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</si>
  <si>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</si>
  <si>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</si>
  <si>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</si>
  <si>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</si>
  <si>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</si>
  <si>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</si>
  <si>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</si>
  <si>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</si>
  <si>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</si>
  <si>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</si>
  <si>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</si>
  <si>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</si>
  <si>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</si>
  <si>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</si>
  <si>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</si>
  <si>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</si>
  <si>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</si>
  <si>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</si>
  <si>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</si>
  <si>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</si>
  <si>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</si>
  <si>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</si>
  <si>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</si>
  <si>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</si>
  <si>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</si>
  <si>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</si>
  <si>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</si>
  <si>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</si>
  <si>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</si>
  <si>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</si>
  <si>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</si>
  <si>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</si>
  <si>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</si>
  <si>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</si>
  <si>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</si>
  <si>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</si>
  <si>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</si>
  <si>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</si>
  <si>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</si>
  <si>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</si>
  <si>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</si>
  <si>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</si>
  <si>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</si>
  <si>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</si>
  <si>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</si>
  <si>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</si>
  <si>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</si>
  <si>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</si>
  <si>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</si>
  <si>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</si>
  <si>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</si>
  <si>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</si>
  <si>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</si>
  <si>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</si>
  <si>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</si>
  <si>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</si>
  <si>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</si>
  <si>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</si>
  <si>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</si>
  <si>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</si>
  <si>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</si>
  <si>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</si>
  <si>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</si>
  <si>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</si>
  <si>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</si>
  <si>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</si>
  <si>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</si>
  <si>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</si>
  <si>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</si>
  <si>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</si>
  <si>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</si>
  <si>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</si>
  <si>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</si>
  <si>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</si>
  <si>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</si>
  <si>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</si>
  <si>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</si>
  <si>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</si>
  <si>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</si>
  <si>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</si>
  <si>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</si>
  <si>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</si>
  <si>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</si>
  <si>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</si>
  <si>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</si>
  <si>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</si>
  <si>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</si>
  <si>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</si>
  <si>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</si>
  <si>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</si>
  <si>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</si>
  <si>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</si>
  <si>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</si>
  <si>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</si>
  <si>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</si>
  <si>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</si>
  <si>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</si>
  <si>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</si>
  <si>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</si>
  <si>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</si>
  <si>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</si>
  <si>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</si>
  <si>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</si>
  <si>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</si>
  <si>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</si>
  <si>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</si>
  <si>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</si>
  <si>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</si>
  <si>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</si>
  <si>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</si>
  <si>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</si>
  <si>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</si>
  <si>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</si>
  <si>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</si>
  <si>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</si>
  <si>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</si>
  <si>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</si>
  <si>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</si>
  <si>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</si>
  <si>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</si>
  <si>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</si>
  <si>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</si>
  <si>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</si>
  <si>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</si>
  <si>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</si>
  <si>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</si>
  <si>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</si>
  <si>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</si>
  <si>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</si>
  <si>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</si>
  <si>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</si>
  <si>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</si>
  <si>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</si>
  <si>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</si>
  <si>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</si>
  <si>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</si>
  <si>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</si>
  <si>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</si>
  <si>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</si>
  <si>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</si>
  <si>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</si>
  <si>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</si>
  <si>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</si>
  <si>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</si>
  <si>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</si>
  <si>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</si>
  <si>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</si>
  <si>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</si>
  <si>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</si>
  <si>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</si>
  <si>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</si>
  <si>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</si>
  <si>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</si>
  <si>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</si>
  <si>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</si>
  <si>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</si>
  <si>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</si>
  <si>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</si>
  <si>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</si>
  <si>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</si>
  <si>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</si>
  <si>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</si>
  <si>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</si>
  <si>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</si>
  <si>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</si>
  <si>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</si>
  <si>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</si>
  <si>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</si>
  <si>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</si>
  <si>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</si>
  <si>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</si>
  <si>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</si>
  <si>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</si>
  <si>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</si>
  <si>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</si>
  <si>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</si>
  <si>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</si>
  <si>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</si>
  <si>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</si>
  <si>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</si>
  <si>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</si>
  <si>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</si>
  <si>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</si>
  <si>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</si>
  <si>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</si>
  <si>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</si>
  <si>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</si>
  <si>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</si>
  <si>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</si>
  <si>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</si>
  <si>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</si>
  <si>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</si>
  <si>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</si>
  <si>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</si>
  <si>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</si>
  <si>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</si>
  <si>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</si>
  <si>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</si>
  <si>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</si>
  <si>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</si>
  <si>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</si>
  <si>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</si>
  <si>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</si>
  <si>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</si>
  <si>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</si>
  <si>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</si>
  <si>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</si>
  <si>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</si>
  <si>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</si>
  <si>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</si>
  <si>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</si>
  <si>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</si>
  <si>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</si>
  <si>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</si>
  <si>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</si>
  <si>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</si>
  <si>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</si>
  <si>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</si>
  <si>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</si>
  <si>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</si>
  <si>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</si>
  <si>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</si>
  <si>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</si>
  <si>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</si>
  <si>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</si>
  <si>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</si>
  <si>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</si>
  <si>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</si>
  <si>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</si>
  <si>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</si>
  <si>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</si>
  <si>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</si>
  <si>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</si>
  <si>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</si>
  <si>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</si>
  <si>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</si>
  <si>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</si>
  <si>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</si>
  <si>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</si>
  <si>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</si>
  <si>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</si>
  <si>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</si>
  <si>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</si>
  <si>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</si>
  <si>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</si>
  <si>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</si>
  <si>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</si>
  <si>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</si>
  <si>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</si>
  <si>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</si>
  <si>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</si>
  <si>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</si>
  <si>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</si>
  <si>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</si>
  <si>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</si>
  <si>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</si>
  <si>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</si>
  <si>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</si>
  <si>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</si>
  <si>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</si>
  <si>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</si>
  <si>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</si>
  <si>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</si>
  <si>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</si>
  <si>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</si>
  <si>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</si>
  <si>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</si>
  <si>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</si>
  <si>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</si>
  <si>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</si>
  <si>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</si>
  <si>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</si>
  <si>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</si>
  <si>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</si>
  <si>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</si>
  <si>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</si>
  <si>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</si>
  <si>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</si>
  <si>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</si>
  <si>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</si>
  <si>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</si>
  <si>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</si>
  <si>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</si>
  <si>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</si>
  <si>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</si>
  <si>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</si>
  <si>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</si>
  <si>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</si>
  <si>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</si>
  <si>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</si>
  <si>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</si>
  <si>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</si>
  <si>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</si>
  <si>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</si>
  <si>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</si>
  <si>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</si>
  <si>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</si>
  <si>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</si>
  <si>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</si>
  <si>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</si>
  <si>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</si>
  <si>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</si>
  <si>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</si>
  <si>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</si>
  <si>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</si>
  <si>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</si>
  <si>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</si>
  <si>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</si>
  <si>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</si>
  <si>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</si>
  <si>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</si>
  <si>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</si>
  <si>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</si>
  <si>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</si>
  <si>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</si>
  <si>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</si>
  <si>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</si>
  <si>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</si>
  <si>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</si>
  <si>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</si>
  <si>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</si>
  <si>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</si>
  <si>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</si>
  <si>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</si>
  <si>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</si>
  <si>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</si>
  <si>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</si>
  <si>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</si>
  <si>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</si>
  <si>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</si>
  <si>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</si>
  <si>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</si>
  <si>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</si>
  <si>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</si>
  <si>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</si>
  <si>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</si>
  <si>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</si>
  <si>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</si>
  <si>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</si>
  <si>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</si>
  <si>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</si>
  <si>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</si>
  <si>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</si>
  <si>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</si>
  <si>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</si>
  <si>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</si>
  <si>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</si>
  <si>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</si>
  <si>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</si>
  <si>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</si>
  <si>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</si>
  <si>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</si>
  <si>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</si>
  <si>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</si>
  <si>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</si>
  <si>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</si>
  <si>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</si>
  <si>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</si>
  <si>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</si>
  <si>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</si>
  <si>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</si>
  <si>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</si>
  <si>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</si>
  <si>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</si>
  <si>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</si>
  <si>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</si>
  <si>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</si>
  <si>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</si>
  <si>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</si>
  <si>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</si>
  <si>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</si>
  <si>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</si>
  <si>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</si>
  <si>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</si>
  <si>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</si>
  <si>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</si>
  <si>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</si>
  <si>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</si>
  <si>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</si>
  <si>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</si>
  <si>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</si>
  <si>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</si>
  <si>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</si>
  <si>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</si>
  <si>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</si>
  <si>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</si>
  <si>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</si>
  <si>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</si>
  <si>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</si>
  <si>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</si>
  <si>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</si>
  <si>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</si>
  <si>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</si>
  <si>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</si>
  <si>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</si>
  <si>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</si>
  <si>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</si>
  <si>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</si>
  <si>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</si>
  <si>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</si>
  <si>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</si>
  <si>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</si>
  <si>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</si>
  <si>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</si>
  <si>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</si>
  <si>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</si>
  <si>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</si>
  <si>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</si>
  <si>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</si>
  <si>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</si>
  <si>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</si>
  <si>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</si>
  <si>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</si>
  <si>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</si>
  <si>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</si>
  <si>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</si>
  <si>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</si>
  <si>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</si>
  <si>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</si>
  <si>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</si>
  <si>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</si>
  <si>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</si>
  <si>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</si>
  <si>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</si>
  <si>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</si>
  <si>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</si>
  <si>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</si>
  <si>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</si>
  <si>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</si>
  <si>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</si>
  <si>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</si>
  <si>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</si>
  <si>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</si>
  <si>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</si>
  <si>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</si>
  <si>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</si>
  <si>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</si>
  <si>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</si>
  <si>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</si>
  <si>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</si>
  <si>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</si>
  <si>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</si>
  <si>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</si>
  <si>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</si>
  <si>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</si>
  <si>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</si>
  <si>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</si>
  <si>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</si>
  <si>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</si>
  <si>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</si>
  <si>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</si>
  <si>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</si>
  <si>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</si>
  <si>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</si>
  <si>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</si>
  <si>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</si>
  <si>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</si>
  <si>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</si>
  <si>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</si>
  <si>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</si>
  <si>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</si>
  <si>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</si>
  <si>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</si>
  <si>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</si>
  <si>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</si>
  <si>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</si>
  <si>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</si>
  <si>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</si>
  <si>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</si>
  <si>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</si>
  <si>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</si>
  <si>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</si>
  <si>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</si>
  <si>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</si>
  <si>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</si>
  <si>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</si>
  <si>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</si>
  <si>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</si>
  <si>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</si>
  <si>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</si>
  <si>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</si>
  <si>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</si>
  <si>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</si>
  <si>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</si>
  <si>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</si>
  <si>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</si>
  <si>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</si>
  <si>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</si>
  <si>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</si>
  <si>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</si>
  <si>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</si>
  <si>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</si>
  <si>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</si>
  <si>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</si>
  <si>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</si>
  <si>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</si>
  <si>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</si>
  <si>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</si>
  <si>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</si>
  <si>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</si>
  <si>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</si>
  <si>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</si>
  <si>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</si>
  <si>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</si>
  <si>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</si>
  <si>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</si>
  <si>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</si>
  <si>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</si>
  <si>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</si>
  <si>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</si>
  <si>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</si>
  <si>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</si>
  <si>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</si>
  <si>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</si>
  <si>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</si>
  <si>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</si>
  <si>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</si>
  <si>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</si>
  <si>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</si>
  <si>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</si>
  <si>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</si>
  <si>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</si>
  <si>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</si>
  <si>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</si>
  <si>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</si>
  <si>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</si>
  <si>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</si>
  <si>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</si>
  <si>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</si>
  <si>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</si>
  <si>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</si>
  <si>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</si>
  <si>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</si>
  <si>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</si>
  <si>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</si>
  <si>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</si>
  <si>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</si>
  <si>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</si>
  <si>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</si>
  <si>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</si>
  <si>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</si>
  <si>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</si>
  <si>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</si>
  <si>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</si>
  <si>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</si>
  <si>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</si>
  <si>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</si>
  <si>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</si>
  <si>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</si>
  <si>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</si>
  <si>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</si>
  <si>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</si>
  <si>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</si>
  <si>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</si>
  <si>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</si>
  <si>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</si>
  <si>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</si>
  <si>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</si>
  <si>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</si>
  <si>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</si>
  <si>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</si>
  <si>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</si>
  <si>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</si>
  <si>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</si>
  <si>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</si>
  <si>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</si>
  <si>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</si>
  <si>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</si>
  <si>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</si>
  <si>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</si>
  <si>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</si>
  <si>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</si>
  <si>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</si>
  <si>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</si>
  <si>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</si>
  <si>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</si>
  <si>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</si>
  <si>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</si>
  <si>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</si>
  <si>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</si>
  <si>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</si>
  <si>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</si>
  <si>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</si>
  <si>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</si>
  <si>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</si>
  <si>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</si>
  <si>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</si>
  <si>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</si>
  <si>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</si>
  <si>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</si>
  <si>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</si>
  <si>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</si>
  <si>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</si>
  <si>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</si>
  <si>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</si>
  <si>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</si>
  <si>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</si>
  <si>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</si>
  <si>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</si>
  <si>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</si>
  <si>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</si>
  <si>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</si>
  <si>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</si>
  <si>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</si>
  <si>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</si>
  <si>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</si>
  <si>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</si>
  <si>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</si>
  <si>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</si>
  <si>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</si>
  <si>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</si>
  <si>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</si>
  <si>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</si>
  <si>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</si>
  <si>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</si>
  <si>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</si>
  <si>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</si>
  <si>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</si>
  <si>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</si>
  <si>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</si>
  <si>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</si>
  <si>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</si>
  <si>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</si>
  <si>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</si>
  <si>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</si>
  <si>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</si>
  <si>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</si>
  <si>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</si>
  <si>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</si>
  <si>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</si>
  <si>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</si>
  <si>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</si>
  <si>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</si>
  <si>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</si>
  <si>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</si>
  <si>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</si>
  <si>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</si>
  <si>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</si>
  <si>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</si>
  <si>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</si>
  <si>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</si>
  <si>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</si>
  <si>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</si>
  <si>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</si>
  <si>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</si>
  <si>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</si>
  <si>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</si>
  <si>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</si>
  <si>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</si>
  <si>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</si>
  <si>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</si>
  <si>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</si>
  <si>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</si>
  <si>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</si>
  <si>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</si>
  <si>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</si>
  <si>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</si>
  <si>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</si>
  <si>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</si>
  <si>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</si>
  <si>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</si>
  <si>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</si>
  <si>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</si>
  <si>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</si>
  <si>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</si>
  <si>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</si>
  <si>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</si>
  <si>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</si>
  <si>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</si>
  <si>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</si>
  <si>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</si>
  <si>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</si>
  <si>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</si>
  <si>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</si>
  <si>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</si>
  <si>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</si>
  <si>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</si>
  <si>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</si>
  <si>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</si>
  <si>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</si>
  <si>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</si>
  <si>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</si>
  <si>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</si>
  <si>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</si>
  <si>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</si>
  <si>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</si>
  <si>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</si>
  <si>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</si>
  <si>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</si>
  <si>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</si>
  <si>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</si>
  <si>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</si>
  <si>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</si>
  <si>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</si>
  <si>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</si>
  <si>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</si>
  <si>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</si>
  <si>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</si>
  <si>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</si>
  <si>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</si>
  <si>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</si>
  <si>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</si>
  <si>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</si>
  <si>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</si>
  <si>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</si>
  <si>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</si>
  <si>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</si>
  <si>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</si>
  <si>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</si>
  <si>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</si>
  <si>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</si>
  <si>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</si>
  <si>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</si>
  <si>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</si>
  <si>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</si>
  <si>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</si>
  <si>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</si>
  <si>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</si>
  <si>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</si>
  <si>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</si>
  <si>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</si>
  <si>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</si>
  <si>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</si>
  <si>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</si>
  <si>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</si>
  <si>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</si>
  <si>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</si>
  <si>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</si>
  <si>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</si>
  <si>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</si>
  <si>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</si>
  <si>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</si>
  <si>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</si>
  <si>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</si>
  <si>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</si>
  <si>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</si>
  <si>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</si>
  <si>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</si>
  <si>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</si>
  <si>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</si>
  <si>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</si>
  <si>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</si>
  <si>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</si>
  <si>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</si>
  <si>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</si>
  <si>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</si>
  <si>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</si>
  <si>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</si>
  <si>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</si>
  <si>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</si>
  <si>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</si>
  <si>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</si>
  <si>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</si>
  <si>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</si>
  <si>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</si>
  <si>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</si>
  <si>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</si>
  <si>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</si>
  <si>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</si>
  <si>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</si>
  <si>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</si>
  <si>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</si>
  <si>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</si>
  <si>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</si>
  <si>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</si>
  <si>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</si>
  <si>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</si>
  <si>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</si>
  <si>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</si>
  <si>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</si>
  <si>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</si>
  <si>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</si>
  <si>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</si>
  <si>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</si>
  <si>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</si>
  <si>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</si>
  <si>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</si>
  <si>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</si>
  <si>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</si>
  <si>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</si>
  <si>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</si>
  <si>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</si>
  <si>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</si>
  <si>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</si>
  <si>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</si>
  <si>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</si>
  <si>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</si>
  <si>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</si>
  <si>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</si>
  <si>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</si>
  <si>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</si>
  <si>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</si>
  <si>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</si>
  <si>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</si>
  <si>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</si>
  <si>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</si>
  <si>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</si>
  <si>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</si>
  <si>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</si>
  <si>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</si>
  <si>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</si>
  <si>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</si>
  <si>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</si>
  <si>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</si>
  <si>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</si>
  <si>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</si>
  <si>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</si>
  <si>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</si>
  <si>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</si>
  <si>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</si>
  <si>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</si>
  <si>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</si>
  <si>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</si>
  <si>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</si>
  <si>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</si>
  <si>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</si>
  <si>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</si>
  <si>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</si>
  <si>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</si>
  <si>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</si>
  <si>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</si>
  <si>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</si>
  <si>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</si>
  <si>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</si>
  <si>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</si>
  <si>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</si>
  <si>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</si>
  <si>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</si>
  <si>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</si>
  <si>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</si>
  <si>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</si>
  <si>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</si>
  <si>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</si>
  <si>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</si>
  <si>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</si>
  <si>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</si>
  <si>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</si>
  <si>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</si>
  <si>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</si>
  <si>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</si>
  <si>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</si>
  <si>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</si>
  <si>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</si>
  <si>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</si>
  <si>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</si>
  <si>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</si>
  <si>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</si>
  <si>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</si>
  <si>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</si>
  <si>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</si>
  <si>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</si>
  <si>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</si>
  <si>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</si>
  <si>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</si>
  <si>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</si>
  <si>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</si>
  <si>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</si>
  <si>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</si>
  <si>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</si>
  <si>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</si>
  <si>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</si>
  <si>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</si>
  <si>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</si>
  <si>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</si>
  <si>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</si>
  <si>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</si>
  <si>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</si>
  <si>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</si>
  <si>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</si>
  <si>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</si>
  <si>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</si>
  <si>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</si>
  <si>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</si>
  <si>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</si>
  <si>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</si>
  <si>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</si>
  <si>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</si>
  <si>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</si>
  <si>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</si>
  <si>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</si>
  <si>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</si>
  <si>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</si>
  <si>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</si>
  <si>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</si>
  <si>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</si>
  <si>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</si>
  <si>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</si>
  <si>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</si>
  <si>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</si>
  <si>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</si>
  <si>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</si>
  <si>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</si>
  <si>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</si>
  <si>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</si>
  <si>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</si>
  <si>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</si>
  <si>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</si>
  <si>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</si>
  <si>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</si>
  <si>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</si>
  <si>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</si>
  <si>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</si>
  <si>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</si>
  <si>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</si>
  <si>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</si>
  <si>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</si>
  <si>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</si>
  <si>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</si>
  <si>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</si>
  <si>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</si>
  <si>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</si>
  <si>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</si>
  <si>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</si>
  <si>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</si>
  <si>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</si>
  <si>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</si>
  <si>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</si>
  <si>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</si>
  <si>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</si>
  <si>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</si>
  <si>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</si>
  <si>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</si>
  <si>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</si>
  <si>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</si>
  <si>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</si>
  <si>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</si>
  <si>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</si>
  <si>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</si>
  <si>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</si>
  <si>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</si>
  <si>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</si>
  <si>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</si>
  <si>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</si>
  <si>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</si>
  <si>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</si>
  <si>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</si>
  <si>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</si>
  <si>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</si>
  <si>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</si>
  <si>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</si>
  <si>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</si>
  <si>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</si>
  <si>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</si>
  <si>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</si>
  <si>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</si>
  <si>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</si>
  <si>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</si>
  <si>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</si>
  <si>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</si>
  <si>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</si>
  <si>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</si>
  <si>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</si>
  <si>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</si>
  <si>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</si>
  <si>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</si>
  <si>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</si>
  <si>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</si>
  <si>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</si>
  <si>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</si>
  <si>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</si>
  <si>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</si>
  <si>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</si>
  <si>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</si>
  <si>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</si>
  <si>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</si>
  <si>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</si>
  <si>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</si>
  <si>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</si>
  <si>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</si>
  <si>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</si>
  <si>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</si>
  <si>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</si>
  <si>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</si>
  <si>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</si>
  <si>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</si>
  <si>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</si>
  <si>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</si>
  <si>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</si>
  <si>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</si>
  <si>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</si>
  <si>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</si>
  <si>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</si>
  <si>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</si>
  <si>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</si>
  <si>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</si>
  <si>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</si>
  <si>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</si>
  <si>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</si>
  <si>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</si>
  <si>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</si>
  <si>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</si>
  <si>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</si>
  <si>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</si>
  <si>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</si>
  <si>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</si>
  <si>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</si>
  <si>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</si>
  <si>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</si>
  <si>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</si>
  <si>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</si>
  <si>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</si>
  <si>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</si>
  <si>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</si>
  <si>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</si>
  <si>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</si>
  <si>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</si>
  <si>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</si>
  <si>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</si>
  <si>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</si>
  <si>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</si>
  <si>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</si>
  <si>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</si>
  <si>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</si>
  <si>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</si>
  <si>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</si>
  <si>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</si>
  <si>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</si>
  <si>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</si>
  <si>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</si>
  <si>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</si>
  <si>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</si>
  <si>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</si>
  <si>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</si>
  <si>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</si>
  <si>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</si>
  <si>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</si>
  <si>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</si>
  <si>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</si>
  <si>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</si>
  <si>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</si>
  <si>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</si>
  <si>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</si>
  <si>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</si>
  <si>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</si>
  <si>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</si>
  <si>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</si>
  <si>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</si>
  <si>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</si>
  <si>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</si>
  <si>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</si>
  <si>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</si>
  <si>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</si>
  <si>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</si>
  <si>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</si>
  <si>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</si>
  <si>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</si>
  <si>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</si>
  <si>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</si>
  <si>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</si>
  <si>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</si>
  <si>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</si>
  <si>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</si>
  <si>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</si>
  <si>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</si>
  <si>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</si>
  <si>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</si>
  <si>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</si>
  <si>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</si>
  <si>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</si>
  <si>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</si>
  <si>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</si>
  <si>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</si>
  <si>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</si>
  <si>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</si>
  <si>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</si>
  <si>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</si>
  <si>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</si>
  <si>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</si>
  <si>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</si>
  <si>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</si>
  <si>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</si>
  <si>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</si>
  <si>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</si>
  <si>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</si>
  <si>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</si>
  <si>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</si>
  <si>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</si>
  <si>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</si>
  <si>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</si>
  <si>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</si>
  <si>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</si>
  <si>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</si>
  <si>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</si>
  <si>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</si>
  <si>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</si>
  <si>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</si>
  <si>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</si>
  <si>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</si>
  <si>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</si>
  <si>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</si>
  <si>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</si>
  <si>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</si>
  <si>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</si>
  <si>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</si>
  <si>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</si>
  <si>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</si>
  <si>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</si>
  <si>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</si>
  <si>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</si>
  <si>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</si>
  <si>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</si>
  <si>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</si>
  <si>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</si>
  <si>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</si>
  <si>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</si>
  <si>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</si>
  <si>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</si>
  <si>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</si>
  <si>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</si>
  <si>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</si>
  <si>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</si>
  <si>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</si>
  <si>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</si>
  <si>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</si>
  <si>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</si>
  <si>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</si>
  <si>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</si>
  <si>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</si>
  <si>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</si>
  <si>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</si>
  <si>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</si>
  <si>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</si>
  <si>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</si>
  <si>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</si>
  <si>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</si>
  <si>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</si>
  <si>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</si>
  <si>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</si>
  <si>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</si>
  <si>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</si>
  <si>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</si>
  <si>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</si>
  <si>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</si>
  <si>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</si>
  <si>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</si>
  <si>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</si>
  <si>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</si>
  <si>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</si>
  <si>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</si>
  <si>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</si>
  <si>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</si>
  <si>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</si>
  <si>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</si>
  <si>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</si>
  <si>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</si>
  <si>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</si>
  <si>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</si>
  <si>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</si>
  <si>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</si>
  <si>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</si>
  <si>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</si>
  <si>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</si>
  <si>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</si>
  <si>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</si>
  <si>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</si>
  <si>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</si>
  <si>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</si>
  <si>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</si>
  <si>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</si>
  <si>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</si>
  <si>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</si>
  <si>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</si>
  <si>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</si>
  <si>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</si>
  <si>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</si>
  <si>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</si>
  <si>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</si>
  <si>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</si>
  <si>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</si>
  <si>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</si>
  <si>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</si>
  <si>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</si>
  <si>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</si>
  <si>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</si>
  <si>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</si>
  <si>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</si>
  <si>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</si>
  <si>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</si>
  <si>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</si>
  <si>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</si>
  <si>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</si>
  <si>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</si>
  <si>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</si>
  <si>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</si>
  <si>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</si>
  <si>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</si>
  <si>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</si>
  <si>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</si>
  <si>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</si>
  <si>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</si>
  <si>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</si>
  <si>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</si>
  <si>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</si>
  <si>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</si>
  <si>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</si>
  <si>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</si>
  <si>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</si>
  <si>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</si>
  <si>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</si>
  <si>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</si>
  <si>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</si>
  <si>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</si>
  <si>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</si>
  <si>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</si>
  <si>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</si>
  <si>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</si>
  <si>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</si>
  <si>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</si>
  <si>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</si>
  <si>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</si>
  <si>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</si>
  <si>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</si>
  <si>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</si>
  <si>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</si>
  <si>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</si>
  <si>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</si>
  <si>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</si>
  <si>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</si>
  <si>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</si>
  <si>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</si>
  <si>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</si>
  <si>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</si>
  <si>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</si>
  <si>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</si>
  <si>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</si>
  <si>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</si>
  <si>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</si>
  <si>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</si>
  <si>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</si>
  <si>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</si>
  <si>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</si>
  <si>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</si>
  <si>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</si>
  <si>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</si>
  <si>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</si>
  <si>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</si>
  <si>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</si>
  <si>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</si>
  <si>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</si>
  <si>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</si>
  <si>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</si>
  <si>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</si>
  <si>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</si>
  <si>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</si>
  <si>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</si>
  <si>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</si>
  <si>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</si>
  <si>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</si>
  <si>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</si>
  <si>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</si>
  <si>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</si>
  <si>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</si>
  <si>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</si>
  <si>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</si>
  <si>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</si>
  <si>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</si>
  <si>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</si>
  <si>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</si>
  <si>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</si>
  <si>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</si>
  <si>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</si>
  <si>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</si>
  <si>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</si>
  <si>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</si>
  <si>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</si>
  <si>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</si>
  <si>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</si>
  <si>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</si>
  <si>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</si>
  <si>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</si>
  <si>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</si>
  <si>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</si>
  <si>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</si>
  <si>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</si>
  <si>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</si>
  <si>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</si>
  <si>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</si>
  <si>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</si>
  <si>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</si>
  <si>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</si>
  <si>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</si>
  <si>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</si>
  <si>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</si>
  <si>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</si>
  <si>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</si>
  <si>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</si>
  <si>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</si>
  <si>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</si>
  <si>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</si>
  <si>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</si>
  <si>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</si>
  <si>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</si>
  <si>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</si>
  <si>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</si>
  <si>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</si>
  <si>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</si>
  <si>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</si>
  <si>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</si>
  <si>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</si>
  <si>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</si>
  <si>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</si>
  <si>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</si>
  <si>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</si>
  <si>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</si>
  <si>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</si>
  <si>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</si>
  <si>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</si>
  <si>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</si>
  <si>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</si>
  <si>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</si>
  <si>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</si>
  <si>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</si>
  <si>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</si>
  <si>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</si>
  <si>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</si>
  <si>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</si>
  <si>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</si>
  <si>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</si>
  <si>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</si>
  <si>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</si>
  <si>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</si>
  <si>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</si>
  <si>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</si>
  <si>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</si>
  <si>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</si>
  <si>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</si>
  <si>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</si>
  <si>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</si>
  <si>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</si>
  <si>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</si>
  <si>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</si>
  <si>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</si>
  <si>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</si>
  <si>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</si>
  <si>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</si>
  <si>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</si>
  <si>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</si>
  <si>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</si>
  <si>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</si>
  <si>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</si>
  <si>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</si>
  <si>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</si>
  <si>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</si>
  <si>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</si>
  <si>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</si>
  <si>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</si>
  <si>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</si>
  <si>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</si>
  <si>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</si>
  <si>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</si>
  <si>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</si>
  <si>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</si>
  <si>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</si>
  <si>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</si>
  <si>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</si>
  <si>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</si>
  <si>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</si>
  <si>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</si>
  <si>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</si>
  <si>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</si>
  <si>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</si>
  <si>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</si>
  <si>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</si>
  <si>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</si>
  <si>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</si>
  <si>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</si>
  <si>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</si>
  <si>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</si>
  <si>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</si>
  <si>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</si>
  <si>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</si>
  <si>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</si>
  <si>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</si>
  <si>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</si>
  <si>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</si>
  <si>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</si>
  <si>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</si>
  <si>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</si>
  <si>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</si>
  <si>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</si>
  <si>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</si>
  <si>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</si>
  <si>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</si>
  <si>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</si>
  <si>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</si>
  <si>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</si>
  <si>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</si>
  <si>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</si>
  <si>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</si>
  <si>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</si>
  <si>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</si>
  <si>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</si>
  <si>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</si>
  <si>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</si>
  <si>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</si>
  <si>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</si>
  <si>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</si>
  <si>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</si>
  <si>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</si>
  <si>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</si>
  <si>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</si>
  <si>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</si>
  <si>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</si>
  <si>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</si>
  <si>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</si>
  <si>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</si>
  <si>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</si>
  <si>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</si>
  <si>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</si>
  <si>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</si>
  <si>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</si>
  <si>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</si>
  <si>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</si>
  <si>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</si>
  <si>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</si>
  <si>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</si>
  <si>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</si>
  <si>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</si>
  <si>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</si>
  <si>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</si>
  <si>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</si>
  <si>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</si>
  <si>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</si>
  <si>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</si>
  <si>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</si>
  <si>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</si>
  <si>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</si>
  <si>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</si>
  <si>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</si>
  <si>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</si>
  <si>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</si>
  <si>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</si>
  <si>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</si>
  <si>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</si>
  <si>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</si>
  <si>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</si>
  <si>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</si>
  <si>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</si>
  <si>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</si>
  <si>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</si>
  <si>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</si>
  <si>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</si>
  <si>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</si>
  <si>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</si>
  <si>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</si>
  <si>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</si>
  <si>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</si>
  <si>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</si>
  <si>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</si>
  <si>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</si>
  <si>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</si>
  <si>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</si>
  <si>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</si>
  <si>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</si>
  <si>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</si>
  <si>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</si>
  <si>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</si>
  <si>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</si>
  <si>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</si>
  <si>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</si>
  <si>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</si>
  <si>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</si>
  <si>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</si>
  <si>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</si>
  <si>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</si>
  <si>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</si>
  <si>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</si>
  <si>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</si>
  <si>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</si>
  <si>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</si>
  <si>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</si>
  <si>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</si>
  <si>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</si>
  <si>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</si>
  <si>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</si>
  <si>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</si>
  <si>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</si>
  <si>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</si>
  <si>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</si>
  <si>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</si>
  <si>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</si>
  <si>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</si>
  <si>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</si>
  <si>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</si>
  <si>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</si>
  <si>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</si>
  <si>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</si>
  <si>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</si>
  <si>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</si>
  <si>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</si>
  <si>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</si>
  <si>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</si>
  <si>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</si>
  <si>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</si>
  <si>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</si>
  <si>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</si>
  <si>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</si>
  <si>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</si>
  <si>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</si>
  <si>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</si>
  <si>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</si>
  <si>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</si>
  <si>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</si>
  <si>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</si>
  <si>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</si>
  <si>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</si>
  <si>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</si>
  <si>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</si>
  <si>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</si>
  <si>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</si>
  <si>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</si>
  <si>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</si>
  <si>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</si>
  <si>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</si>
  <si>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</si>
  <si>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</si>
  <si>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</si>
  <si>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</si>
  <si>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</si>
  <si>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</si>
  <si>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</si>
  <si>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</si>
  <si>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</si>
  <si>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</si>
  <si>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</si>
  <si>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</si>
  <si>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</si>
  <si>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</si>
  <si>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</si>
  <si>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</si>
  <si>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</si>
  <si>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</si>
  <si>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</si>
  <si>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</si>
  <si>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</si>
  <si>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</si>
  <si>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</si>
  <si>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</si>
  <si>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</si>
  <si>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</si>
  <si>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</si>
  <si>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</si>
  <si>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</si>
  <si>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</si>
  <si>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</si>
  <si>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</si>
  <si>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</si>
  <si>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</si>
  <si>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</si>
  <si>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</si>
  <si>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</si>
  <si>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</si>
  <si>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</si>
  <si>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</si>
  <si>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</si>
  <si>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</si>
  <si>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</si>
  <si>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</si>
  <si>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</si>
  <si>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</si>
  <si>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</si>
  <si>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</si>
  <si>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</si>
  <si>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</si>
  <si>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</si>
  <si>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</si>
  <si>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</si>
  <si>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</si>
  <si>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</si>
  <si>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</si>
  <si>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</si>
  <si>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</si>
  <si>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</si>
  <si>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</si>
  <si>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</si>
  <si>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</si>
  <si>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</si>
  <si>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</si>
  <si>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</si>
  <si>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</si>
  <si>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</si>
  <si>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</si>
  <si>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</si>
  <si>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</si>
  <si>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</si>
  <si>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</si>
  <si>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</si>
  <si>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</si>
  <si>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</si>
  <si>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</si>
  <si>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</si>
  <si>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</si>
  <si>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</si>
  <si>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</si>
  <si>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</si>
  <si>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</si>
  <si>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</si>
  <si>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</si>
  <si>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</si>
  <si>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</si>
  <si>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</si>
  <si>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</si>
  <si>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</si>
  <si>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</si>
  <si>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</si>
  <si>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</si>
  <si>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</si>
  <si>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</si>
  <si>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</si>
  <si>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</si>
  <si>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</si>
  <si>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</si>
  <si>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</si>
  <si>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</si>
  <si>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</si>
  <si>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</si>
  <si>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</si>
  <si>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</si>
  <si>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</si>
  <si>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</si>
  <si>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</si>
  <si>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</si>
  <si>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</si>
  <si>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</si>
  <si>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</si>
  <si>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</si>
  <si>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</si>
  <si>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</si>
  <si>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</si>
  <si>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</si>
  <si>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</si>
  <si>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</si>
  <si>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</si>
  <si>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</si>
  <si>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</si>
  <si>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</si>
  <si>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</si>
  <si>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</si>
  <si>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</si>
  <si>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</si>
  <si>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</si>
  <si>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</si>
  <si>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</si>
  <si>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</si>
  <si>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</si>
  <si>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</si>
  <si>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</si>
  <si>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</si>
  <si>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</si>
  <si>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</si>
  <si>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</si>
  <si>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</si>
  <si>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</si>
  <si>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</si>
  <si>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</si>
  <si>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</si>
  <si>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</si>
  <si>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</si>
  <si>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</si>
  <si>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</si>
  <si>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</si>
  <si>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</si>
  <si>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</si>
  <si>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</si>
  <si>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</si>
  <si>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</si>
  <si>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</si>
  <si>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</si>
  <si>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</si>
  <si>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</si>
  <si>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</si>
  <si>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</si>
  <si>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</si>
  <si>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</si>
  <si>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</si>
  <si>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</si>
  <si>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</si>
  <si>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</si>
  <si>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</si>
  <si>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</si>
  <si>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</si>
  <si>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</si>
  <si>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</si>
  <si>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</si>
  <si>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</si>
  <si>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</si>
  <si>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</si>
  <si>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</si>
  <si>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</si>
  <si>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</si>
  <si>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</si>
  <si>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</si>
  <si>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</si>
  <si>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</si>
  <si>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</si>
  <si>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</si>
  <si>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</si>
  <si>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</si>
  <si>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</si>
  <si>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</si>
  <si>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</si>
  <si>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</si>
  <si>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</si>
  <si>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</si>
  <si>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</si>
  <si>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</si>
  <si>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</si>
  <si>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</si>
  <si>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</si>
  <si>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</si>
  <si>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</si>
  <si>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</si>
  <si>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</si>
  <si>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</si>
  <si>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</si>
  <si>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</si>
  <si>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</si>
  <si>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</si>
  <si>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</si>
  <si>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</si>
  <si>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</si>
  <si>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</si>
  <si>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</si>
  <si>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</si>
  <si>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</si>
  <si>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</si>
  <si>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</si>
  <si>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</si>
  <si>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</si>
  <si>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</si>
  <si>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</si>
  <si>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</si>
  <si>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</si>
  <si>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</si>
  <si>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</si>
  <si>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</si>
  <si>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</si>
  <si>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</si>
  <si>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</si>
  <si>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</si>
  <si>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</si>
  <si>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</si>
  <si>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</si>
  <si>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</si>
  <si>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</si>
  <si>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</si>
  <si>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</si>
  <si>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</si>
  <si>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</si>
  <si>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</si>
  <si>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</si>
  <si>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</si>
  <si>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</si>
  <si>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</si>
  <si>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</si>
  <si>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</si>
  <si>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</si>
  <si>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</si>
  <si>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</si>
  <si>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</si>
  <si>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</si>
  <si>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</si>
  <si>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</si>
  <si>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</si>
  <si>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</si>
  <si>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</si>
  <si>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</si>
  <si>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</si>
  <si>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</si>
  <si>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</si>
  <si>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</si>
  <si>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</si>
  <si>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</si>
  <si>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</si>
  <si>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</si>
  <si>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</si>
  <si>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</si>
  <si>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</si>
  <si>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</si>
  <si>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</si>
  <si>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</si>
  <si>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</si>
  <si>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</si>
  <si>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</si>
  <si>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</si>
  <si>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</si>
  <si>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</si>
  <si>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</si>
  <si>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</si>
  <si>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</si>
  <si>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</si>
  <si>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</si>
  <si>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</si>
  <si>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</si>
  <si>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</si>
  <si>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</si>
  <si>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</si>
  <si>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</si>
  <si>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</si>
  <si>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</si>
  <si>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</si>
  <si>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</si>
  <si>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</si>
  <si>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</si>
  <si>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</si>
  <si>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</si>
  <si>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</si>
  <si>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</si>
  <si>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</si>
  <si>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</si>
  <si>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</si>
  <si>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</si>
  <si>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</si>
  <si>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</si>
  <si>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</si>
  <si>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</si>
  <si>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</si>
  <si>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</si>
  <si>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</si>
  <si>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</si>
  <si>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</si>
  <si>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</si>
  <si>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</si>
  <si>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</si>
  <si>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</si>
  <si>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</si>
  <si>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</si>
  <si>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</si>
  <si>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</si>
  <si>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</si>
  <si>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</si>
  <si>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</si>
  <si>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</si>
  <si>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</si>
  <si>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</si>
  <si>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</si>
  <si>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</si>
  <si>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</si>
  <si>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</si>
  <si>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</si>
  <si>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</si>
  <si>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</si>
  <si>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</si>
  <si>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</si>
  <si>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</si>
  <si>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</si>
  <si>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</si>
  <si>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</si>
  <si>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</si>
  <si>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</si>
  <si>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</si>
  <si>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</si>
  <si>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</si>
  <si>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</si>
  <si>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</si>
  <si>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</si>
  <si>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</si>
  <si>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</si>
  <si>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</si>
  <si>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</si>
  <si>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</si>
  <si>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</si>
  <si>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</si>
  <si>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</si>
  <si>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</si>
  <si>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</si>
  <si>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</si>
  <si>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</si>
  <si>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</si>
  <si>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</si>
  <si>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</si>
  <si>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</si>
  <si>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</si>
  <si>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</si>
  <si>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</si>
  <si>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</si>
  <si>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</si>
  <si>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</si>
  <si>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</si>
  <si>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</si>
  <si>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</si>
  <si>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</si>
  <si>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</si>
  <si>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</si>
  <si>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</si>
  <si>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</si>
  <si>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</si>
  <si>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</si>
  <si>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</si>
  <si>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</si>
  <si>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</si>
  <si>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</si>
  <si>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</si>
  <si>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</si>
  <si>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</si>
  <si>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</si>
  <si>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</si>
  <si>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</si>
  <si>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</si>
  <si>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</si>
  <si>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</si>
  <si>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</si>
  <si>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</si>
  <si>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</si>
  <si>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</si>
  <si>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</si>
  <si>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</si>
  <si>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</si>
  <si>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</si>
  <si>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</si>
  <si>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</si>
  <si>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</si>
  <si>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</si>
  <si>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</si>
  <si>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</si>
  <si>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</si>
  <si>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</si>
  <si>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</si>
  <si>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</si>
  <si>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</si>
  <si>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</si>
  <si>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</si>
  <si>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</si>
  <si>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</si>
  <si>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</si>
  <si>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</si>
  <si>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</si>
  <si>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</si>
  <si>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</si>
  <si>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</si>
  <si>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</si>
  <si>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</si>
  <si>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</si>
  <si>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</si>
  <si>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</si>
  <si>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</si>
  <si>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</si>
  <si>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</si>
  <si>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</si>
  <si>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</si>
  <si>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</si>
  <si>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</si>
  <si>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</si>
  <si>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</si>
  <si>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</si>
  <si>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</si>
  <si>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</si>
  <si>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</si>
  <si>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</si>
  <si>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</si>
  <si>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</si>
  <si>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</si>
  <si>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</si>
  <si>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</si>
  <si>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</si>
  <si>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</si>
  <si>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</si>
  <si>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</si>
  <si>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</si>
  <si>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</si>
  <si>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</si>
  <si>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</si>
  <si>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</si>
  <si>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</si>
  <si>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</si>
  <si>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</si>
  <si>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</si>
  <si>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</si>
  <si>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</si>
  <si>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</si>
  <si>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</si>
  <si>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</si>
  <si>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</si>
  <si>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</si>
  <si>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</si>
  <si>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</si>
  <si>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</si>
  <si>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</si>
  <si>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</si>
  <si>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</si>
  <si>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</si>
  <si>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</si>
  <si>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</si>
  <si>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</si>
  <si>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</si>
  <si>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</si>
  <si>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</si>
  <si>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</si>
  <si>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</si>
  <si>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</si>
  <si>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</si>
  <si>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</si>
  <si>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</si>
  <si>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</si>
  <si>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</si>
  <si>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</si>
  <si>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</si>
  <si>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</si>
  <si>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</si>
  <si>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</si>
  <si>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</si>
  <si>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</si>
  <si>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</si>
  <si>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</si>
  <si>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</si>
  <si>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</si>
  <si>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</si>
  <si>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</si>
  <si>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</si>
  <si>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</si>
  <si>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</si>
  <si>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</si>
  <si>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</si>
  <si>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</si>
  <si>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</si>
  <si>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</si>
  <si>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</si>
  <si>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</si>
  <si>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</si>
  <si>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</si>
  <si>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</si>
  <si>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</si>
  <si>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</si>
  <si>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</si>
  <si>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</si>
  <si>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</si>
  <si>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</si>
  <si>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</si>
  <si>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</si>
  <si>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</si>
  <si>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</si>
  <si>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</si>
  <si>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</si>
  <si>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</si>
  <si>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</si>
  <si>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</si>
  <si>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</si>
  <si>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</si>
  <si>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</si>
  <si>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</si>
  <si>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</si>
  <si>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</si>
  <si>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</si>
  <si>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</si>
  <si>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</si>
  <si>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</si>
  <si>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</si>
  <si>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</si>
  <si>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</si>
  <si>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</si>
  <si>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</si>
  <si>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</si>
  <si>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</si>
  <si>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</si>
  <si>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</si>
  <si>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</si>
  <si>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</si>
  <si>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</si>
  <si>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</si>
  <si>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</si>
  <si>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</si>
  <si>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</si>
  <si>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</si>
  <si>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</si>
  <si>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</si>
  <si>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</si>
  <si>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</si>
  <si>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</si>
  <si>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</si>
  <si>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</si>
  <si>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</si>
  <si>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</si>
  <si>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</si>
  <si>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</si>
  <si>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</si>
  <si>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</si>
  <si>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</si>
  <si>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</si>
  <si>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</si>
  <si>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</si>
  <si>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</si>
  <si>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</si>
  <si>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</si>
  <si>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</si>
  <si>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</si>
  <si>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</si>
  <si>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</si>
  <si>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</si>
  <si>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</si>
  <si>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</si>
  <si>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</si>
  <si>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</si>
  <si>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</si>
  <si>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</si>
  <si>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</si>
  <si>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</si>
  <si>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</si>
  <si>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</si>
  <si>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</si>
  <si>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</si>
  <si>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</si>
  <si>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</si>
  <si>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</si>
  <si>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</si>
  <si>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</si>
  <si>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</si>
  <si>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</si>
  <si>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</si>
  <si>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</si>
  <si>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</si>
  <si>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</si>
  <si>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</si>
  <si>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</si>
  <si>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</si>
  <si>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</si>
  <si>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</si>
  <si>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</si>
  <si>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</si>
  <si>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</si>
  <si>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</si>
  <si>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</si>
  <si>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</si>
  <si>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</si>
  <si>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</si>
  <si>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</si>
  <si>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</si>
  <si>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</si>
  <si>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</si>
  <si>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</si>
  <si>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</si>
  <si>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</si>
  <si>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</si>
  <si>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</si>
  <si>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</si>
  <si>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</si>
  <si>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</si>
  <si>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</si>
  <si>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</si>
  <si>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</si>
  <si>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</si>
  <si>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</si>
  <si>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</si>
  <si>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</si>
  <si>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</si>
  <si>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</si>
  <si>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</si>
  <si>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</si>
  <si>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</si>
  <si>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</si>
  <si>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</si>
  <si>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</si>
  <si>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</si>
  <si>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</si>
  <si>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</si>
  <si>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</si>
  <si>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</si>
  <si>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</si>
  <si>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</si>
  <si>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</si>
  <si>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</si>
  <si>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</si>
  <si>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</si>
  <si>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</si>
  <si>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</si>
  <si>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</si>
  <si>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</si>
  <si>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</si>
  <si>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</si>
  <si>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</si>
  <si>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</si>
  <si>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</si>
  <si>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</si>
  <si>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</si>
  <si>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</si>
  <si>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</si>
  <si>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</si>
  <si>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</si>
  <si>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</si>
  <si>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</si>
  <si>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</si>
  <si>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</si>
  <si>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</si>
  <si>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</si>
  <si>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</si>
  <si>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</si>
  <si>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</si>
  <si>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</si>
  <si>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</si>
  <si>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</si>
  <si>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</si>
  <si>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</si>
  <si>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</si>
  <si>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</si>
  <si>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</si>
  <si>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</si>
  <si>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</si>
  <si>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</si>
  <si>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</si>
  <si>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</si>
  <si>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</si>
  <si>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</si>
  <si>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</si>
  <si>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</si>
  <si>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</si>
  <si>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</si>
  <si>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</si>
  <si>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</si>
  <si>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</si>
  <si>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</si>
  <si>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</si>
  <si>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</si>
  <si>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</si>
  <si>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</si>
  <si>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</si>
  <si>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</si>
  <si>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</si>
  <si>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</si>
  <si>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</si>
  <si>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</si>
  <si>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</si>
  <si>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</si>
  <si>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</si>
  <si>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</si>
  <si>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</si>
  <si>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</si>
  <si>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</si>
  <si>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</si>
  <si>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</si>
  <si>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</si>
  <si>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</si>
  <si>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</si>
  <si>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</si>
  <si>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</si>
  <si>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</si>
  <si>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</si>
  <si>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</si>
  <si>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</si>
  <si>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</si>
  <si>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</si>
  <si>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</si>
  <si>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</si>
  <si>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</si>
  <si>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</si>
  <si>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</si>
  <si>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</si>
  <si>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</si>
  <si>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</si>
  <si>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</si>
  <si>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</si>
  <si>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</si>
  <si>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</si>
  <si>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</si>
  <si>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</si>
  <si>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</si>
  <si>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</si>
  <si>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</si>
  <si>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</si>
  <si>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</si>
  <si>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</si>
  <si>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</si>
  <si>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</si>
  <si>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</si>
  <si>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</si>
  <si>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</si>
  <si>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</si>
  <si>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</si>
  <si>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</si>
  <si>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</si>
  <si>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</si>
  <si>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</si>
  <si>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</si>
  <si>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</si>
  <si>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</si>
  <si>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</si>
  <si>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</si>
  <si>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</si>
  <si>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</si>
  <si>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</si>
  <si>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</si>
  <si>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</si>
  <si>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</si>
  <si>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</si>
  <si>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</si>
  <si>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</si>
  <si>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</si>
  <si>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</si>
  <si>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</si>
  <si>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</si>
  <si>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</si>
  <si>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</si>
  <si>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</si>
  <si>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</si>
  <si>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</si>
  <si>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</si>
  <si>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</si>
  <si>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</si>
  <si>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</si>
  <si>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</si>
  <si>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</si>
  <si>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</si>
  <si>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</si>
  <si>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</si>
  <si>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</si>
  <si>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</si>
  <si>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</si>
  <si>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</si>
  <si>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</si>
  <si>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</si>
  <si>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</si>
  <si>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</si>
  <si>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</si>
  <si>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</si>
  <si>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</si>
  <si>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</si>
  <si>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</si>
  <si>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</si>
  <si>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</si>
  <si>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</si>
  <si>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</si>
  <si>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</si>
  <si>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</si>
  <si>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</si>
  <si>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</si>
  <si>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</si>
  <si>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</si>
  <si>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</si>
  <si>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</si>
  <si>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</si>
  <si>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</si>
  <si>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</si>
  <si>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</si>
  <si>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</si>
  <si>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</si>
  <si>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</si>
  <si>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</si>
  <si>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</si>
  <si>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</si>
  <si>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</si>
  <si>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</si>
  <si>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</si>
  <si>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</si>
  <si>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</si>
  <si>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</si>
  <si>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</si>
  <si>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</si>
  <si>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</si>
  <si>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</si>
  <si>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</si>
  <si>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</si>
  <si>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</si>
  <si>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</si>
  <si>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</si>
  <si>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</si>
  <si>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</si>
  <si>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</si>
  <si>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</si>
  <si>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</si>
  <si>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</si>
  <si>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</si>
  <si>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</si>
  <si>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</si>
  <si>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</si>
  <si>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</si>
  <si>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</si>
  <si>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</si>
  <si>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</si>
  <si>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</si>
  <si>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</si>
  <si>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</si>
  <si>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</si>
  <si>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</si>
  <si>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</si>
  <si>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</si>
  <si>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</si>
  <si>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</si>
  <si>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</si>
  <si>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</si>
  <si>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</si>
  <si>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</si>
  <si>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</si>
  <si>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</si>
  <si>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</si>
  <si>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</si>
  <si>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</si>
  <si>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</si>
  <si>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</si>
  <si>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</si>
  <si>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</si>
  <si>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</si>
  <si>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</si>
  <si>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</si>
  <si>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</si>
  <si>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</si>
  <si>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</si>
  <si>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</si>
  <si>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</si>
  <si>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</si>
  <si>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</si>
  <si>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</si>
  <si>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</si>
  <si>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</si>
  <si>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</si>
  <si>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</si>
  <si>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</si>
  <si>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</si>
  <si>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</si>
  <si>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</si>
  <si>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</si>
  <si>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</si>
  <si>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</si>
  <si>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</si>
  <si>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</si>
  <si>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</si>
  <si>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</si>
  <si>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</si>
  <si>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</si>
  <si>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</si>
  <si>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</si>
  <si>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</si>
  <si>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</si>
  <si>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</si>
  <si>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</si>
  <si>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</si>
  <si>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</si>
  <si>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</si>
  <si>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</si>
  <si>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</si>
  <si>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</si>
  <si>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</si>
  <si>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</si>
  <si>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</si>
  <si>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</si>
  <si>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</si>
  <si>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</si>
  <si>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</si>
  <si>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</si>
  <si>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</si>
  <si>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</si>
  <si>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</si>
  <si>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</si>
  <si>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</si>
  <si>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</si>
  <si>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</si>
  <si>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</si>
  <si>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</si>
  <si>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</si>
  <si>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</si>
  <si>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</si>
  <si>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</si>
  <si>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</si>
  <si>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</si>
  <si>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</si>
  <si>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</si>
  <si>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</si>
  <si>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</si>
  <si>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</si>
  <si>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</si>
  <si>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</si>
  <si>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</si>
  <si>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</si>
  <si>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</si>
  <si>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</si>
  <si>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</si>
  <si>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</si>
  <si>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</si>
  <si>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</si>
  <si>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</si>
  <si>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</si>
  <si>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</si>
  <si>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</si>
  <si>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</si>
  <si>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</si>
  <si>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</si>
  <si>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</si>
  <si>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</si>
  <si>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</si>
  <si>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</si>
  <si>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</si>
  <si>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</si>
  <si>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</si>
  <si>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</si>
  <si>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</si>
  <si>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</si>
  <si>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</si>
  <si>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</si>
  <si>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</si>
  <si>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</si>
  <si>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</si>
  <si>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</si>
  <si>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</si>
  <si>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</si>
  <si>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</si>
  <si>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</si>
  <si>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</si>
  <si>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</si>
  <si>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</si>
  <si>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</si>
  <si>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</si>
  <si>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</si>
  <si>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</si>
  <si>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</si>
  <si>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</si>
  <si>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</si>
  <si>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</si>
  <si>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</si>
  <si>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</si>
  <si>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</si>
  <si>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</si>
  <si>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</si>
  <si>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</si>
  <si>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</si>
  <si>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</si>
  <si>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</si>
  <si>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</si>
  <si>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</si>
  <si>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</si>
  <si>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</si>
  <si>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</si>
  <si>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</si>
  <si>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</si>
  <si>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</si>
  <si>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</si>
  <si>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</si>
  <si>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</si>
  <si>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</si>
  <si>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</si>
  <si>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</si>
  <si>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</si>
  <si>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</si>
  <si>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</si>
  <si>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</si>
  <si>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</si>
  <si>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</si>
  <si>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</si>
  <si>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</si>
  <si>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</si>
  <si>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</si>
  <si>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</si>
  <si>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</si>
  <si>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</si>
  <si>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</si>
  <si>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</si>
  <si>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</si>
  <si>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</si>
  <si>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</si>
  <si>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</si>
  <si>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</si>
  <si>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</si>
  <si>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</si>
  <si>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</si>
  <si>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</si>
  <si>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</si>
  <si>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</si>
  <si>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</si>
  <si>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</si>
  <si>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</si>
  <si>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</si>
  <si>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</si>
  <si>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</si>
  <si>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</si>
  <si>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</si>
  <si>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</si>
  <si>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</si>
  <si>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</si>
  <si>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</si>
  <si>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</si>
  <si>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</si>
  <si>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</si>
  <si>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</si>
  <si>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</si>
  <si>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</si>
  <si>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</si>
  <si>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</si>
  <si>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</si>
  <si>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</si>
  <si>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</si>
  <si>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</si>
  <si>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</si>
  <si>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</si>
  <si>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</si>
  <si>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</si>
  <si>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</si>
  <si>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</si>
  <si>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</si>
  <si>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</si>
  <si>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</si>
  <si>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</si>
  <si>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</si>
  <si>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</si>
  <si>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</si>
  <si>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</si>
  <si>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</si>
  <si>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</si>
  <si>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</si>
  <si>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</si>
  <si>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</si>
  <si>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</si>
  <si>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</si>
  <si>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</si>
  <si>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</si>
  <si>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</si>
  <si>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</si>
  <si>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</si>
  <si>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</si>
  <si>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</si>
  <si>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</si>
  <si>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</si>
  <si>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</si>
  <si>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</si>
  <si>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</si>
  <si>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</si>
  <si>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</si>
  <si>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</si>
  <si>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</si>
  <si>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</si>
  <si>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</si>
  <si>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</si>
  <si>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</si>
  <si>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</si>
  <si>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</si>
  <si>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</si>
  <si>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</si>
  <si>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</si>
  <si>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</si>
  <si>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</si>
  <si>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</si>
  <si>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</si>
  <si>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</si>
  <si>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</si>
  <si>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</si>
  <si>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</si>
  <si>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</si>
  <si>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</si>
  <si>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</si>
  <si>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</si>
  <si>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</si>
  <si>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</si>
  <si>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</si>
  <si>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</si>
  <si>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</si>
  <si>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</si>
  <si>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</si>
  <si>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</si>
  <si>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</si>
  <si>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</si>
  <si>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</si>
  <si>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</si>
  <si>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</si>
  <si>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</si>
  <si>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</si>
  <si>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</si>
  <si>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</si>
  <si>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</si>
  <si>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</si>
  <si>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</si>
  <si>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</si>
  <si>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</si>
  <si>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</si>
  <si>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</si>
  <si>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</si>
  <si>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</si>
  <si>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</si>
  <si>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</si>
  <si>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</si>
  <si>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</si>
  <si>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</si>
  <si>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</si>
  <si>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</si>
  <si>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</si>
  <si>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</si>
  <si>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</si>
  <si>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</si>
  <si>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</si>
  <si>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</si>
  <si>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</si>
  <si>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</si>
  <si>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</si>
  <si>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</si>
  <si>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</si>
  <si>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</si>
  <si>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</si>
  <si>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</si>
  <si>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</si>
  <si>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</si>
  <si>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</si>
  <si>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</si>
  <si>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</si>
  <si>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</si>
  <si>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</si>
  <si>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</si>
  <si>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</si>
  <si>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</si>
  <si>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</si>
  <si>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</si>
  <si>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</si>
  <si>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</si>
  <si>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</si>
  <si>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</si>
  <si>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</si>
  <si>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</si>
  <si>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</si>
  <si>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</si>
  <si>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</si>
  <si>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</si>
  <si>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</si>
  <si>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</si>
  <si>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</si>
  <si>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</si>
  <si>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</si>
  <si>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</si>
  <si>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</si>
  <si>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</si>
  <si>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</si>
  <si>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</si>
  <si>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</si>
  <si>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</si>
  <si>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</si>
  <si>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</si>
  <si>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</si>
  <si>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</si>
  <si>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</si>
  <si>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</si>
  <si>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</si>
  <si>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</si>
  <si>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</si>
  <si>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</si>
  <si>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</si>
  <si>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</si>
  <si>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</si>
  <si>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</si>
  <si>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</si>
  <si>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</si>
  <si>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</si>
  <si>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</si>
  <si>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</si>
  <si>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</si>
  <si>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</si>
  <si>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</si>
  <si>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</si>
  <si>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</si>
  <si>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</si>
  <si>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</si>
  <si>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</si>
  <si>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</si>
  <si>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</si>
  <si>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</si>
  <si>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</si>
  <si>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</si>
  <si>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</si>
  <si>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</si>
  <si>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</si>
  <si>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</si>
  <si>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</si>
  <si>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</si>
  <si>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</si>
  <si>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</si>
  <si>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</si>
  <si>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</si>
  <si>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</si>
  <si>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</si>
  <si>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</si>
  <si>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</si>
  <si>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</si>
  <si>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</si>
  <si>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</si>
  <si>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</si>
  <si>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</si>
  <si>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</si>
  <si>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</si>
  <si>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</si>
  <si>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</si>
  <si>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</si>
  <si>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</si>
  <si>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</si>
  <si>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</si>
  <si>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</si>
  <si>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</si>
  <si>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</si>
  <si>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</si>
  <si>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</si>
  <si>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</si>
  <si>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</si>
  <si>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</si>
  <si>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</si>
  <si>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</si>
  <si>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</si>
  <si>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</si>
  <si>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</si>
  <si>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</si>
  <si>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</si>
  <si>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</si>
  <si>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</si>
  <si>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</si>
  <si>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</si>
  <si>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</si>
  <si>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</si>
  <si>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</si>
  <si>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</si>
  <si>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</si>
  <si>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</si>
  <si>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</si>
  <si>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</si>
  <si>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</si>
  <si>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</si>
  <si>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</si>
  <si>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</si>
  <si>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</si>
  <si>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</si>
  <si>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</si>
  <si>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</si>
  <si>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</si>
  <si>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</si>
  <si>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</si>
  <si>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</si>
  <si>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</si>
  <si>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</si>
  <si>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</si>
  <si>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</si>
  <si>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</si>
  <si>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</si>
  <si>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</si>
  <si>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</si>
  <si>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</si>
  <si>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</si>
  <si>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</si>
  <si>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</si>
  <si>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</si>
  <si>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</si>
  <si>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</si>
  <si>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</si>
  <si>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</si>
  <si>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</si>
  <si>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</si>
  <si>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</si>
  <si>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</si>
  <si>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</si>
  <si>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</si>
  <si>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</si>
  <si>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</si>
  <si>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</si>
  <si>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</si>
  <si>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</si>
  <si>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</si>
  <si>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</si>
  <si>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</si>
  <si>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</si>
  <si>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</si>
  <si>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</si>
  <si>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</si>
  <si>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</si>
  <si>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</si>
  <si>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</si>
  <si>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</si>
  <si>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</si>
  <si>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</si>
  <si>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</si>
  <si>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</si>
  <si>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</si>
  <si>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</si>
  <si>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</si>
  <si>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</si>
  <si>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</si>
  <si>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</si>
  <si>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</si>
  <si>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</si>
  <si>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</si>
  <si>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</si>
  <si>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</si>
  <si>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</si>
  <si>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</si>
  <si>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</si>
  <si>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</si>
  <si>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</si>
  <si>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</si>
  <si>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</si>
  <si>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</si>
  <si>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</si>
  <si>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</si>
  <si>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</si>
  <si>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</si>
  <si>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</si>
  <si>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</si>
  <si>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</si>
  <si>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</si>
  <si>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</si>
  <si>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</si>
  <si>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</si>
  <si>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</si>
  <si>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</si>
  <si>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</si>
  <si>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</si>
  <si>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</si>
  <si>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</si>
  <si>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</si>
  <si>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</si>
  <si>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</si>
  <si>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</si>
  <si>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</si>
  <si>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</si>
  <si>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</si>
  <si>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</si>
  <si>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</si>
  <si>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</si>
  <si>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</si>
  <si>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</si>
  <si>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</si>
  <si>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</si>
  <si>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</si>
  <si>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</si>
  <si>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</si>
  <si>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</si>
  <si>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</si>
  <si>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</si>
  <si>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</si>
  <si>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</si>
  <si>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</si>
  <si>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</si>
  <si>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</si>
  <si>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</si>
  <si>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</si>
  <si>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</si>
  <si>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</si>
  <si>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</si>
  <si>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</si>
  <si>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</si>
  <si>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</si>
  <si>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</si>
  <si>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</si>
  <si>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</si>
  <si>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</si>
  <si>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</si>
  <si>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</si>
  <si>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</si>
  <si>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</si>
  <si>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</si>
  <si>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</si>
  <si>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</si>
  <si>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</si>
  <si>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</si>
  <si>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</si>
  <si>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</si>
  <si>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</si>
  <si>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</si>
  <si>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</si>
  <si>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</si>
  <si>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</si>
  <si>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</si>
  <si>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</si>
  <si>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</si>
  <si>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</si>
  <si>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</si>
  <si>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</si>
  <si>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</si>
  <si>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</si>
  <si>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</si>
  <si>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</si>
  <si>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</si>
  <si>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</si>
  <si>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</si>
  <si>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</si>
  <si>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</si>
  <si>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</si>
  <si>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</si>
  <si>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</si>
  <si>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</si>
  <si>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</si>
  <si>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</si>
  <si>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</si>
  <si>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</si>
  <si>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</si>
  <si>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</si>
  <si>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</si>
  <si>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</si>
  <si>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</si>
  <si>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</si>
  <si>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</si>
  <si>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</si>
  <si>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</si>
  <si>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</si>
  <si>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</si>
  <si>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</si>
  <si>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</si>
  <si>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</si>
  <si>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</si>
  <si>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</si>
  <si>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</si>
  <si>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</si>
  <si>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</si>
  <si>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</si>
  <si>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</si>
  <si>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</si>
  <si>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</si>
  <si>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</si>
  <si>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</si>
  <si>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</si>
  <si>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</si>
  <si>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</si>
  <si>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</si>
  <si>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</si>
  <si>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</si>
  <si>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</si>
  <si>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</si>
  <si>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</si>
  <si>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</si>
  <si>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</si>
  <si>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</si>
  <si>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</si>
  <si>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</si>
  <si>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</si>
  <si>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</si>
  <si>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</si>
  <si>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</si>
  <si>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</si>
  <si>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</si>
  <si>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</si>
  <si>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</si>
  <si>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</si>
  <si>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</si>
  <si>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</si>
  <si>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</si>
  <si>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</si>
  <si>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</si>
  <si>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</si>
  <si>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</si>
  <si>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</si>
  <si>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</si>
  <si>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</si>
  <si>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</si>
  <si>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</si>
  <si>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</si>
  <si>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</si>
  <si>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</si>
  <si>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</si>
  <si>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</si>
  <si>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</si>
  <si>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</si>
  <si>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</si>
  <si>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</si>
  <si>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</si>
  <si>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</si>
  <si>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</si>
  <si>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</si>
  <si>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</si>
  <si>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</si>
  <si>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</si>
  <si>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</si>
  <si>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</si>
  <si>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</si>
  <si>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</si>
  <si>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</si>
  <si>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</si>
  <si>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</si>
  <si>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</si>
  <si>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</si>
  <si>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</si>
  <si>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</si>
  <si>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</si>
  <si>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</si>
  <si>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</si>
  <si>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</si>
  <si>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</si>
  <si>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</si>
  <si>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</si>
  <si>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</si>
  <si>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</si>
  <si>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</si>
  <si>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</si>
  <si>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</si>
  <si>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</si>
  <si>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</si>
  <si>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</si>
  <si>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</si>
  <si>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</si>
  <si>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</si>
  <si>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</si>
  <si>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</si>
  <si>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</si>
  <si>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</si>
  <si>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</si>
  <si>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</si>
  <si>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</si>
  <si>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</si>
  <si>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</si>
  <si>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</si>
  <si>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</si>
  <si>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</si>
  <si>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</si>
  <si>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</si>
  <si>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</si>
  <si>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</si>
  <si>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</si>
  <si>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</si>
  <si>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</si>
  <si>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</si>
  <si>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</si>
  <si>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</si>
  <si>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</si>
  <si>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</si>
  <si>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</si>
  <si>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</si>
  <si>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</si>
  <si>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</si>
  <si>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</si>
  <si>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</si>
  <si>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</si>
  <si>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</si>
  <si>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</si>
  <si>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</si>
  <si>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</si>
  <si>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</si>
  <si>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</si>
  <si>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</si>
  <si>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</si>
  <si>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</si>
  <si>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</si>
  <si>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</si>
  <si>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</si>
  <si>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</si>
  <si>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</si>
  <si>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</si>
  <si>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</si>
  <si>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</si>
  <si>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</si>
  <si>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</si>
  <si>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</si>
  <si>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</si>
  <si>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</si>
  <si>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</si>
  <si>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</si>
  <si>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</si>
  <si>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</si>
  <si>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</si>
  <si>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</si>
  <si>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</si>
  <si>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</si>
  <si>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</si>
  <si>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</si>
  <si>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</si>
  <si>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</si>
  <si>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</si>
  <si>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</si>
  <si>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</si>
  <si>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</si>
  <si>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</si>
  <si>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</si>
  <si>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</si>
  <si>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</si>
  <si>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</si>
  <si>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</si>
  <si>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</si>
  <si>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</si>
  <si>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</si>
  <si>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</si>
  <si>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</si>
  <si>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</si>
  <si>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</si>
  <si>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</si>
  <si>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</si>
  <si>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</si>
  <si>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</si>
  <si>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</si>
  <si>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</si>
  <si>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</si>
  <si>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</si>
  <si>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</si>
  <si>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</si>
  <si>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</si>
  <si>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</si>
  <si>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</si>
  <si>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</si>
  <si>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</si>
  <si>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</si>
  <si>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</si>
  <si>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</si>
  <si>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</si>
  <si>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</si>
  <si>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</si>
  <si>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</si>
  <si>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</si>
  <si>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</si>
  <si>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</si>
  <si>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</si>
  <si>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</si>
  <si>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</si>
  <si>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</si>
  <si>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</si>
  <si>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</si>
  <si>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</si>
  <si>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</si>
  <si>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</si>
  <si>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</si>
  <si>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</si>
  <si>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</si>
  <si>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</si>
  <si>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</si>
  <si>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</si>
  <si>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</si>
  <si>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</si>
  <si>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</si>
  <si>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</si>
  <si>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</si>
  <si>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</si>
  <si>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</si>
  <si>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</si>
  <si>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</si>
  <si>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</si>
  <si>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</si>
  <si>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</si>
  <si>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</si>
  <si>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</si>
  <si>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</si>
  <si>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</si>
  <si>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</si>
  <si>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</si>
  <si>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</si>
  <si>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</si>
  <si>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</si>
  <si>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</si>
  <si>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</si>
  <si>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</si>
  <si>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</si>
  <si>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</si>
  <si>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</si>
  <si>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</si>
  <si>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</si>
  <si>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</si>
  <si>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</si>
  <si>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</si>
  <si>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</si>
  <si>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</si>
  <si>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</si>
  <si>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</si>
  <si>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</si>
  <si>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</si>
  <si>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</si>
  <si>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</si>
  <si>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</si>
  <si>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</si>
  <si>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</si>
  <si>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</si>
  <si>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</si>
  <si>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</si>
  <si>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</si>
  <si>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</si>
  <si>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</si>
  <si>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</si>
  <si>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</si>
  <si>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</si>
  <si>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</si>
  <si>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</si>
  <si>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</si>
  <si>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</si>
  <si>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</si>
  <si>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</si>
  <si>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</si>
  <si>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</si>
  <si>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</si>
  <si>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</si>
  <si>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</si>
  <si>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</si>
  <si>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</si>
  <si>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</si>
  <si>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</si>
  <si>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</si>
  <si>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</si>
  <si>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</si>
  <si>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</si>
  <si>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</si>
  <si>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</si>
  <si>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</si>
  <si>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</si>
  <si>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</si>
  <si>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</si>
  <si>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</si>
  <si>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</si>
  <si>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</si>
  <si>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</si>
  <si>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</si>
  <si>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</si>
  <si>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</si>
  <si>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</si>
  <si>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</si>
  <si>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</si>
  <si>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</si>
  <si>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</si>
  <si>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</si>
  <si>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</si>
  <si>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</si>
  <si>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</si>
  <si>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</si>
  <si>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</si>
  <si>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</si>
  <si>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</si>
  <si>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</si>
  <si>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</si>
  <si>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</si>
  <si>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</si>
  <si>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</si>
  <si>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</si>
  <si>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</si>
  <si>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</si>
  <si>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</si>
  <si>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</si>
  <si>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</si>
  <si>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</si>
  <si>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</si>
  <si>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</si>
  <si>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</si>
  <si>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</si>
  <si>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</si>
  <si>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</si>
  <si>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</si>
  <si>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</si>
  <si>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</si>
  <si>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</si>
  <si>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</si>
  <si>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</si>
  <si>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</si>
  <si>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</si>
  <si>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</si>
  <si>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</si>
  <si>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</si>
  <si>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</si>
  <si>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</si>
  <si>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</si>
  <si>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</si>
  <si>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</si>
  <si>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</si>
  <si>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</si>
  <si>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</si>
  <si>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</si>
  <si>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</si>
  <si>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</si>
  <si>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</si>
  <si>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</si>
  <si>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</si>
  <si>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</si>
  <si>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</si>
  <si>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</si>
  <si>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</si>
  <si>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</si>
  <si>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</si>
  <si>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</si>
  <si>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</si>
  <si>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</si>
  <si>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</si>
  <si>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</si>
  <si>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</si>
  <si>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</si>
  <si>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</si>
  <si>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</si>
  <si>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</si>
  <si>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</si>
  <si>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</si>
  <si>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</si>
  <si>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</si>
  <si>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</si>
  <si>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</si>
  <si>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</si>
  <si>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</si>
  <si>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</si>
  <si>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</si>
  <si>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</si>
  <si>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</si>
  <si>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</si>
  <si>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</si>
  <si>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</si>
  <si>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</si>
  <si>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</si>
  <si>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</si>
  <si>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</si>
  <si>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</si>
  <si>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</si>
  <si>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</si>
  <si>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</si>
  <si>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</si>
  <si>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</si>
  <si>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</si>
  <si>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</si>
  <si>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</si>
  <si>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</si>
  <si>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</si>
  <si>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</si>
  <si>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</si>
  <si>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</si>
  <si>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</si>
  <si>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</si>
  <si>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</si>
  <si>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</si>
  <si>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</si>
  <si>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</si>
  <si>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</si>
  <si>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</si>
  <si>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</si>
  <si>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</si>
  <si>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</si>
  <si>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</si>
  <si>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</si>
  <si>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</si>
  <si>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</si>
  <si>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</si>
  <si>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</si>
  <si>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</si>
  <si>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</si>
  <si>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</si>
  <si>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</si>
  <si>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</si>
  <si>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</si>
  <si>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</si>
  <si>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</si>
  <si>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</si>
  <si>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</si>
  <si>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</si>
  <si>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</si>
  <si>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</si>
  <si>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</si>
  <si>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</si>
  <si>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</si>
  <si>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</si>
  <si>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</si>
  <si>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</si>
  <si>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</si>
  <si>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</si>
  <si>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</si>
  <si>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</si>
  <si>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</si>
  <si>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</si>
  <si>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</si>
  <si>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</si>
  <si>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</si>
  <si>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</si>
  <si>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</si>
  <si>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</si>
  <si>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</si>
  <si>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</si>
  <si>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</si>
  <si>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</si>
  <si>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</si>
  <si>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</si>
  <si>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</si>
  <si>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</si>
  <si>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</si>
  <si>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</si>
  <si>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</si>
  <si>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</si>
  <si>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</si>
  <si>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</si>
  <si>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</si>
  <si>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</si>
  <si>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</si>
  <si>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</si>
  <si>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</si>
  <si>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</si>
  <si>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</si>
  <si>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</si>
  <si>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</si>
  <si>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</si>
  <si>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</si>
  <si>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</si>
  <si>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</si>
  <si>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</si>
  <si>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</si>
  <si>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</si>
  <si>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</si>
  <si>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</si>
  <si>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</si>
  <si>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</si>
  <si>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</si>
  <si>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</si>
  <si>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</si>
  <si>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</si>
  <si>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</si>
  <si>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</si>
  <si>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</si>
  <si>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</si>
  <si>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</si>
  <si>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</si>
  <si>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</si>
  <si>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</si>
  <si>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</si>
  <si>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</si>
  <si>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</si>
  <si>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</si>
  <si>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</si>
  <si>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</si>
  <si>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</si>
  <si>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</si>
  <si>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</si>
  <si>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</si>
  <si>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</si>
  <si>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</si>
  <si>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</si>
  <si>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</si>
  <si>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</si>
  <si>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</si>
  <si>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</si>
  <si>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</si>
  <si>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</si>
  <si>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</si>
  <si>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</si>
  <si>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</si>
  <si>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</si>
  <si>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</si>
  <si>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</si>
  <si>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</si>
  <si>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</si>
  <si>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</si>
  <si>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</si>
  <si>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</si>
  <si>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</si>
  <si>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</si>
  <si>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</si>
  <si>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</si>
  <si>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</si>
  <si>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</si>
  <si>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</si>
  <si>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</si>
  <si>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</si>
  <si>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</si>
  <si>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</si>
  <si>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</si>
  <si>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</si>
  <si>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</si>
  <si>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</si>
  <si>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</si>
  <si>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</si>
  <si>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</si>
  <si>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</si>
  <si>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</si>
  <si>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</si>
  <si>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</si>
  <si>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</si>
  <si>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</si>
  <si>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</si>
  <si>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</si>
  <si>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</si>
  <si>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</si>
  <si>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</si>
  <si>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</si>
  <si>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</si>
  <si>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</si>
  <si>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</si>
  <si>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</si>
  <si>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</si>
  <si>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</si>
  <si>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</si>
  <si>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</si>
  <si>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</si>
  <si>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</si>
  <si>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</si>
  <si>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</si>
  <si>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</si>
  <si>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</si>
  <si>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</si>
  <si>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</si>
  <si>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</si>
  <si>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</si>
  <si>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</si>
  <si>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</si>
  <si>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</si>
  <si>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</si>
  <si>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</si>
  <si>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</si>
  <si>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</si>
  <si>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</si>
  <si>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</si>
  <si>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</si>
  <si>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</si>
  <si>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</si>
  <si>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</si>
  <si>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</si>
  <si>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</si>
  <si>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</si>
  <si>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</si>
  <si>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</si>
  <si>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</si>
  <si>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</si>
  <si>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</si>
  <si>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</si>
  <si>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</si>
  <si>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</si>
  <si>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</si>
  <si>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</si>
  <si>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</si>
  <si>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</si>
  <si>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</si>
  <si>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</si>
  <si>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</si>
  <si>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</si>
  <si>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</si>
  <si>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</si>
  <si>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</si>
  <si>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</si>
  <si>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</si>
  <si>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</si>
  <si>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</si>
  <si>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</si>
  <si>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</si>
  <si>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</si>
  <si>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</si>
  <si>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</si>
  <si>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</si>
  <si>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</si>
  <si>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</si>
  <si>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</si>
  <si>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</si>
  <si>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</si>
  <si>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</si>
  <si>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</si>
  <si>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</si>
  <si>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</si>
  <si>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</si>
  <si>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</si>
  <si>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</si>
  <si>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</si>
  <si>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</si>
  <si>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</si>
  <si>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</si>
  <si>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</si>
  <si>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</si>
  <si>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</si>
  <si>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</si>
  <si>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</si>
  <si>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</si>
  <si>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</si>
  <si>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</si>
  <si>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</si>
  <si>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</si>
  <si>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</si>
  <si>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</si>
  <si>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</si>
  <si>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</si>
  <si>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</si>
  <si>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</si>
  <si>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</si>
  <si>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</si>
  <si>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</si>
  <si>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</si>
  <si>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</si>
  <si>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</si>
  <si>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</si>
  <si>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</si>
  <si>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</si>
  <si>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</si>
  <si>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</si>
  <si>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</si>
  <si>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</si>
  <si>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</si>
  <si>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</si>
  <si>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</si>
  <si>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</si>
  <si>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</si>
  <si>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</si>
  <si>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</si>
  <si>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</si>
  <si>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</si>
  <si>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</si>
  <si>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</si>
  <si>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</si>
  <si>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</si>
  <si>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</si>
  <si>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</si>
  <si>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</si>
  <si>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</si>
  <si>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</si>
  <si>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</si>
  <si>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</si>
  <si>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</si>
  <si>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</si>
  <si>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</si>
  <si>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</si>
  <si>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</si>
  <si>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</si>
  <si>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</si>
  <si>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</si>
  <si>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</si>
  <si>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</si>
  <si>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</si>
  <si>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</si>
  <si>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</si>
  <si>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</si>
  <si>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</si>
  <si>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</si>
  <si>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</si>
  <si>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</si>
  <si>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</si>
  <si>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</si>
  <si>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</si>
  <si>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</si>
  <si>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</si>
  <si>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</si>
  <si>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</si>
  <si>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</si>
  <si>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</si>
  <si>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</si>
  <si>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</si>
  <si>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</si>
  <si>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</si>
  <si>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</si>
  <si>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</si>
  <si>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</si>
  <si>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</si>
  <si>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</si>
  <si>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</si>
  <si>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</si>
  <si>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</si>
  <si>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</si>
  <si>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</si>
  <si>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</si>
  <si>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</si>
  <si>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</si>
  <si>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</si>
  <si>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</si>
  <si>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</si>
  <si>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</si>
  <si>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</si>
  <si>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</si>
  <si>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</si>
  <si>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</si>
  <si>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</si>
  <si>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</si>
  <si>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</si>
  <si>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</si>
  <si>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</si>
  <si>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</si>
  <si>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</si>
  <si>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</si>
  <si>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</si>
  <si>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</si>
  <si>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</si>
  <si>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</si>
  <si>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</si>
  <si>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</si>
  <si>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</si>
  <si>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</si>
  <si>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</si>
  <si>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</si>
  <si>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</si>
  <si>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</si>
  <si>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</si>
  <si>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</si>
  <si>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</si>
  <si>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</si>
  <si>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</si>
  <si>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</si>
  <si>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</si>
  <si>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</si>
  <si>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</si>
  <si>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</si>
  <si>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</si>
  <si>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</si>
  <si>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</si>
  <si>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</si>
  <si>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</si>
  <si>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</si>
  <si>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</si>
  <si>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</si>
  <si>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</si>
  <si>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</si>
  <si>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</si>
  <si>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</si>
  <si>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</si>
  <si>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</si>
  <si>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</si>
  <si>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</si>
  <si>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</si>
  <si>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</si>
  <si>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</si>
  <si>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</si>
  <si>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</si>
  <si>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</si>
  <si>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</si>
  <si>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</si>
  <si>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</si>
  <si>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</si>
  <si>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</si>
  <si>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</si>
  <si>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</si>
  <si>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</si>
  <si>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</si>
  <si>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</si>
  <si>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</si>
  <si>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</si>
  <si>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</si>
  <si>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</si>
  <si>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</si>
  <si>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</si>
  <si>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</si>
  <si>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</si>
  <si>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</si>
  <si>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</si>
  <si>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</si>
  <si>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</si>
  <si>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</si>
  <si>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</si>
  <si>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</si>
  <si>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</si>
  <si>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</si>
  <si>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</si>
  <si>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</si>
  <si>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</si>
  <si>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</si>
  <si>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</si>
  <si>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</si>
  <si>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</si>
  <si>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</si>
  <si>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</si>
  <si>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</si>
  <si>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</si>
  <si>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</si>
  <si>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</si>
  <si>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</si>
  <si>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</si>
  <si>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</si>
  <si>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</si>
  <si>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</si>
  <si>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</si>
  <si>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</si>
  <si>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</si>
  <si>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</si>
  <si>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</si>
  <si>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</si>
  <si>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</si>
  <si>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</si>
  <si>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</si>
  <si>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</si>
  <si>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</si>
  <si>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</si>
  <si>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</si>
  <si>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</si>
  <si>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</si>
  <si>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</si>
  <si>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</si>
  <si>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</si>
  <si>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</si>
  <si>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</si>
  <si>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</si>
  <si>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</si>
  <si>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</si>
  <si>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</si>
  <si>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</si>
  <si>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</si>
  <si>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</si>
  <si>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</si>
  <si>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</si>
  <si>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</si>
  <si>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</si>
  <si>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</si>
  <si>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</si>
  <si>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</si>
  <si>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</si>
  <si>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</si>
  <si>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</si>
  <si>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</si>
  <si>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</si>
  <si>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</si>
  <si>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</si>
  <si>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</si>
  <si>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</si>
  <si>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</si>
  <si>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</si>
  <si>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</si>
  <si>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</si>
  <si>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</si>
  <si>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</si>
  <si>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</si>
  <si>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</si>
  <si>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</si>
  <si>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</si>
  <si>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</si>
  <si>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</si>
  <si>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</si>
  <si>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</si>
  <si>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</si>
  <si>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</si>
  <si>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</si>
  <si>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</si>
  <si>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</si>
  <si>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</si>
  <si>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</si>
  <si>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</si>
  <si>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</si>
  <si>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</si>
  <si>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</si>
  <si>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</si>
  <si>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</si>
  <si>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</si>
  <si>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</si>
  <si>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</si>
  <si>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</si>
  <si>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</si>
  <si>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</si>
  <si>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</si>
  <si>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</si>
  <si>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</si>
  <si>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</si>
  <si>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</si>
  <si>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</si>
  <si>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</si>
  <si>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</si>
  <si>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</si>
  <si>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</si>
  <si>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</si>
  <si>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</si>
  <si>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</si>
  <si>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</si>
  <si>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</si>
  <si>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</si>
  <si>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</si>
  <si>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</si>
  <si>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</si>
  <si>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</si>
  <si>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</si>
  <si>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</si>
  <si>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</si>
  <si>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</si>
  <si>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</si>
  <si>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</si>
  <si>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</si>
  <si>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</si>
  <si>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</si>
  <si>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</si>
  <si>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</si>
  <si>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</si>
  <si>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</si>
  <si>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</si>
  <si>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</si>
  <si>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</si>
  <si>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</si>
  <si>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</si>
  <si>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</si>
  <si>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</si>
  <si>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</si>
  <si>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</si>
  <si>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</si>
  <si>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</si>
  <si>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</si>
  <si>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</si>
  <si>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</si>
  <si>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</si>
  <si>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</si>
  <si>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</si>
  <si>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</si>
  <si>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</si>
  <si>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</si>
  <si>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</si>
  <si>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</si>
  <si>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</si>
  <si>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</si>
  <si>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</si>
  <si>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</si>
  <si>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</si>
  <si>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</si>
  <si>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</si>
  <si>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</si>
  <si>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</si>
  <si>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</si>
  <si>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</si>
  <si>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</si>
  <si>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</si>
  <si>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</si>
  <si>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</si>
  <si>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</si>
  <si>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</si>
  <si>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</si>
  <si>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</si>
  <si>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</si>
  <si>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</si>
  <si>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</si>
  <si>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</si>
  <si>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</si>
  <si>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</si>
  <si>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</si>
  <si>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</si>
  <si>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</si>
  <si>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</si>
  <si>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</si>
  <si>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</si>
  <si>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</si>
  <si>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</si>
  <si>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</si>
  <si>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</si>
  <si>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</si>
  <si>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</si>
  <si>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</si>
  <si>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</si>
  <si>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</si>
  <si>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</si>
  <si>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</si>
  <si>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</si>
  <si>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</si>
  <si>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</si>
  <si>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</si>
  <si>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</si>
  <si>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</si>
  <si>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</si>
  <si>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</si>
  <si>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</si>
  <si>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</si>
  <si>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</si>
  <si>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</si>
  <si>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</si>
  <si>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</si>
  <si>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</si>
  <si>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</si>
  <si>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</si>
  <si>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</si>
  <si>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</si>
  <si>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</si>
  <si>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</si>
  <si>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</si>
  <si>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</si>
  <si>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</si>
  <si>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</si>
  <si>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</si>
  <si>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</si>
  <si>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</si>
  <si>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</si>
  <si>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</si>
  <si>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</si>
  <si>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</si>
  <si>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</si>
  <si>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</si>
  <si>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</si>
  <si>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</si>
  <si>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</si>
  <si>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</si>
  <si>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</si>
  <si>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</si>
  <si>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</si>
  <si>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</si>
  <si>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</si>
  <si>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</si>
  <si>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</si>
  <si>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</si>
  <si>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</si>
  <si>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</si>
  <si>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</si>
  <si>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</si>
  <si>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</si>
  <si>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</si>
  <si>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</si>
  <si>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</si>
  <si>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</si>
  <si>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</si>
  <si>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</si>
  <si>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</si>
  <si>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</si>
  <si>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</si>
  <si>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</si>
  <si>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</si>
  <si>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</si>
  <si>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</si>
  <si>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</si>
  <si>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</si>
  <si>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</si>
  <si>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</si>
  <si>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</si>
  <si>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</si>
  <si>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</si>
  <si>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</si>
  <si>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</si>
  <si>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</si>
  <si>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</si>
  <si>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</si>
  <si>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</si>
  <si>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</si>
  <si>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</si>
  <si>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</si>
  <si>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</si>
  <si>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</si>
  <si>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</si>
  <si>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</si>
  <si>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</si>
  <si>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</si>
  <si>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</si>
  <si>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</si>
  <si>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</si>
  <si>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</si>
  <si>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</si>
  <si>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</si>
  <si>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</si>
  <si>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</si>
  <si>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</si>
  <si>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</si>
  <si>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</si>
  <si>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</si>
  <si>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</si>
  <si>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</si>
  <si>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</si>
  <si>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</si>
  <si>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</si>
  <si>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</si>
  <si>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</si>
  <si>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</si>
  <si>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</si>
  <si>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</si>
  <si>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</si>
  <si>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</si>
  <si>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</si>
  <si>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</si>
  <si>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</si>
  <si>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</si>
  <si>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</si>
  <si>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</si>
  <si>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</si>
  <si>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</si>
  <si>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</si>
  <si>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</si>
  <si>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</si>
  <si>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</si>
  <si>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</si>
  <si>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</si>
  <si>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</si>
  <si>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</si>
  <si>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</si>
  <si>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</si>
  <si>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</si>
  <si>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</si>
  <si>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</si>
  <si>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</si>
  <si>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</si>
  <si>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</si>
  <si>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</si>
  <si>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</si>
  <si>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</si>
  <si>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</si>
  <si>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</si>
  <si>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</si>
  <si>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</si>
  <si>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</si>
  <si>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</si>
  <si>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</si>
  <si>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</si>
  <si>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</si>
  <si>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</si>
  <si>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</si>
  <si>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</si>
  <si>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</si>
  <si>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</si>
  <si>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</si>
  <si>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</si>
  <si>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</si>
  <si>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</si>
  <si>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</si>
  <si>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</si>
  <si>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</si>
  <si>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</si>
  <si>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</si>
  <si>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</si>
  <si>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</si>
  <si>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</si>
  <si>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</si>
  <si>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</si>
  <si>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</si>
  <si>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</si>
  <si>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</si>
  <si>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</si>
  <si>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</si>
  <si>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</si>
  <si>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</si>
  <si>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</si>
  <si>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</si>
  <si>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</si>
  <si>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</si>
  <si>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</si>
  <si>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</si>
  <si>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</si>
  <si>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</si>
  <si>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</si>
  <si>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</si>
  <si>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</si>
  <si>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</si>
  <si>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</si>
  <si>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</si>
  <si>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</si>
  <si>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</si>
  <si>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</si>
  <si>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</si>
  <si>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</si>
  <si>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</si>
  <si>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</si>
  <si>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</si>
  <si>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</si>
  <si>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</si>
  <si>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</si>
  <si>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</si>
  <si>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</si>
  <si>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</si>
  <si>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</si>
  <si>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</si>
  <si>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</si>
  <si>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</si>
  <si>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</si>
  <si>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</si>
  <si>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</si>
  <si>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</si>
  <si>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</si>
  <si>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</si>
  <si>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</si>
  <si>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</si>
  <si>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</si>
  <si>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</si>
  <si>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</si>
  <si>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</si>
  <si>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</si>
  <si>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</si>
  <si>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</si>
  <si>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</si>
  <si>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</si>
  <si>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</si>
  <si>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</si>
  <si>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</si>
  <si>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</si>
  <si>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</si>
  <si>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</si>
  <si>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</si>
  <si>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</si>
  <si>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</si>
  <si>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</si>
  <si>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</si>
  <si>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</si>
  <si>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</si>
  <si>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</si>
  <si>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</si>
  <si>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</si>
  <si>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</si>
  <si>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</si>
  <si>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</si>
  <si>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</si>
  <si>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</si>
  <si>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</si>
  <si>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</si>
  <si>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</si>
  <si>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</si>
  <si>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</si>
  <si>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</si>
  <si>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</si>
  <si>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</si>
  <si>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</si>
  <si>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</si>
  <si>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</si>
  <si>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</si>
  <si>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</si>
  <si>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</si>
  <si>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</si>
  <si>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</si>
  <si>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</si>
  <si>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</si>
  <si>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</si>
  <si>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</si>
  <si>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</si>
  <si>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</si>
  <si>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</si>
  <si>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</si>
  <si>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</si>
  <si>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</si>
  <si>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</si>
  <si>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</si>
  <si>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</si>
  <si>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</si>
  <si>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</si>
  <si>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</si>
  <si>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</si>
  <si>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</si>
  <si>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</si>
  <si>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</si>
  <si>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</si>
  <si>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</si>
  <si>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</si>
  <si>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</si>
  <si>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</si>
  <si>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</si>
  <si>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</si>
  <si>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</si>
  <si>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</si>
  <si>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</si>
  <si>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</si>
  <si>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</si>
  <si>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</si>
  <si>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</si>
  <si>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</si>
  <si>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</si>
  <si>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</si>
  <si>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</si>
  <si>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</si>
  <si>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</si>
  <si>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</si>
  <si>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</si>
  <si>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</si>
  <si>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</si>
  <si>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</si>
  <si>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</si>
  <si>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</si>
  <si>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</si>
  <si>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</si>
  <si>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</si>
  <si>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</si>
  <si>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</si>
  <si>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</si>
  <si>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</si>
  <si>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</si>
  <si>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</si>
  <si>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</si>
  <si>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</si>
  <si>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</si>
  <si>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</si>
  <si>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</si>
  <si>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</si>
  <si>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</si>
  <si>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</si>
  <si>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</si>
  <si>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</si>
  <si>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</si>
  <si>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</si>
  <si>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</si>
  <si>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</si>
  <si>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</si>
  <si>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</si>
  <si>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</si>
  <si>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</si>
  <si>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</si>
  <si>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</si>
  <si>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</si>
  <si>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</si>
  <si>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</si>
  <si>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</si>
  <si>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</si>
  <si>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</si>
  <si>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</si>
  <si>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</si>
  <si>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</si>
  <si>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</si>
  <si>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</si>
  <si>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</si>
  <si>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</si>
  <si>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</si>
  <si>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</si>
  <si>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</si>
  <si>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</si>
  <si>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</si>
  <si>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</si>
  <si>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</si>
  <si>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</si>
  <si>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</si>
  <si>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</si>
  <si>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</si>
  <si>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</si>
  <si>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</si>
  <si>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</si>
  <si>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</si>
  <si>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</si>
  <si>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</si>
  <si>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</si>
  <si>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</si>
  <si>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</si>
  <si>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</si>
  <si>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</si>
  <si>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</si>
  <si>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</si>
  <si>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</si>
  <si>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</si>
  <si>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</si>
  <si>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</si>
  <si>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</si>
  <si>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</si>
  <si>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</si>
  <si>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</si>
  <si>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</si>
  <si>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</si>
  <si>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</si>
  <si>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</si>
  <si>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</si>
  <si>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</si>
  <si>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</si>
  <si>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</si>
  <si>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</si>
  <si>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</si>
  <si>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</si>
  <si>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</si>
  <si>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</si>
  <si>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</si>
  <si>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</si>
  <si>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</si>
  <si>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</si>
  <si>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</si>
  <si>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</si>
  <si>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</si>
  <si>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</si>
  <si>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</si>
  <si>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</si>
  <si>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</si>
  <si>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</si>
  <si>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</si>
  <si>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</si>
  <si>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</si>
  <si>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</si>
  <si>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</si>
  <si>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</si>
  <si>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</si>
  <si>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</si>
  <si>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</si>
  <si>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</si>
  <si>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</si>
  <si>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</si>
  <si>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</si>
  <si>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</si>
  <si>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</si>
  <si>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</si>
  <si>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</si>
  <si>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</si>
  <si>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</si>
  <si>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</si>
  <si>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</si>
  <si>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</si>
  <si>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</si>
  <si>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</si>
  <si>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</si>
  <si>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</si>
  <si>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</si>
  <si>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</si>
  <si>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</si>
  <si>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</si>
  <si>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</si>
  <si>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</si>
  <si>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</si>
  <si>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</si>
  <si>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</si>
  <si>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</si>
  <si>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</si>
  <si>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</si>
  <si>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</si>
  <si>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</si>
  <si>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</si>
  <si>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</si>
  <si>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</si>
  <si>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</si>
  <si>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</si>
  <si>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</si>
  <si>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</si>
  <si>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</si>
  <si>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</si>
  <si>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</si>
  <si>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</si>
  <si>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</si>
  <si>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</si>
  <si>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</si>
  <si>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</si>
  <si>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</si>
  <si>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</si>
  <si>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</si>
  <si>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</si>
  <si>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</si>
  <si>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</si>
  <si>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</si>
  <si>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</si>
  <si>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</si>
  <si>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</si>
  <si>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</si>
  <si>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</si>
  <si>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</si>
  <si>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</si>
  <si>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</si>
  <si>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</si>
  <si>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</si>
  <si>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</si>
  <si>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</si>
  <si>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</si>
  <si>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</si>
  <si>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</si>
  <si>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</si>
  <si>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</si>
  <si>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</si>
  <si>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</si>
  <si>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</si>
  <si>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</si>
  <si>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</si>
  <si>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</si>
  <si>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</si>
  <si>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</si>
  <si>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</si>
  <si>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</si>
  <si>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</si>
  <si>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</si>
  <si>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</si>
  <si>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</si>
  <si>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</si>
  <si>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</si>
  <si>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</si>
  <si>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</si>
  <si>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</si>
  <si>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</si>
  <si>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</si>
  <si>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</si>
  <si>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</si>
  <si>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</si>
  <si>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</si>
  <si>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</si>
  <si>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</si>
  <si>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</si>
  <si>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</si>
  <si>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</si>
  <si>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</si>
  <si>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</si>
  <si>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</si>
  <si>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</si>
  <si>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</si>
  <si>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</si>
  <si>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</si>
  <si>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</si>
  <si>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</si>
  <si>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</si>
  <si>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</si>
  <si>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</si>
  <si>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</si>
  <si>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</si>
  <si>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</si>
  <si>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</si>
  <si>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</si>
  <si>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</si>
  <si>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</si>
  <si>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</si>
  <si>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</si>
  <si>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</si>
  <si>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</si>
  <si>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</si>
  <si>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</si>
  <si>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</si>
  <si>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</si>
  <si>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</si>
  <si>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</si>
  <si>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</si>
  <si>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</si>
  <si>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</si>
  <si>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</si>
  <si>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</si>
  <si>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</si>
  <si>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</si>
  <si>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</si>
  <si>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</si>
  <si>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</si>
  <si>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</si>
  <si>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</si>
  <si>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</si>
  <si>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</si>
  <si>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</si>
  <si>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</si>
  <si>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</si>
  <si>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</si>
  <si>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</si>
  <si>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</si>
  <si>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</si>
  <si>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</si>
  <si>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</si>
  <si>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</si>
  <si>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</si>
  <si>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</si>
  <si>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</si>
  <si>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</si>
  <si>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</si>
  <si>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</si>
  <si>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</si>
  <si>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</si>
  <si>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</si>
  <si>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</si>
  <si>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</si>
  <si>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</si>
  <si>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</si>
  <si>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</si>
  <si>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</si>
  <si>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</si>
  <si>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</si>
  <si>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</si>
  <si>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</si>
  <si>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</si>
  <si>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</si>
  <si>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</si>
  <si>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</si>
  <si>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</si>
  <si>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</si>
  <si>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</si>
  <si>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</si>
  <si>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</si>
  <si>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</si>
  <si>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</si>
  <si>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</si>
  <si>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</si>
  <si>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</si>
  <si>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</si>
  <si>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</si>
  <si>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</si>
  <si>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</si>
  <si>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</si>
  <si>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</si>
  <si>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</si>
  <si>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</si>
  <si>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</si>
  <si>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</si>
  <si>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</si>
  <si>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</si>
  <si>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</si>
  <si>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</si>
  <si>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</si>
  <si>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</si>
  <si>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</si>
  <si>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</si>
  <si>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</si>
  <si>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</si>
  <si>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</si>
  <si>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</si>
  <si>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</si>
  <si>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</si>
  <si>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</si>
  <si>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</si>
  <si>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</si>
  <si>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</si>
  <si>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</si>
  <si>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</si>
  <si>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</si>
  <si>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</si>
  <si>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</si>
  <si>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</si>
  <si>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</si>
  <si>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</si>
  <si>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</si>
  <si>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</si>
  <si>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</si>
  <si>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</si>
  <si>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</si>
  <si>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</si>
  <si>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</si>
  <si>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</si>
  <si>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</si>
  <si>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</si>
  <si>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</si>
  <si>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</si>
  <si>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</si>
  <si>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</si>
  <si>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</si>
  <si>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</si>
  <si>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</si>
  <si>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</si>
  <si>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</si>
  <si>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</si>
  <si>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</si>
  <si>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</si>
  <si>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</si>
  <si>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</si>
  <si>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</si>
  <si>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</si>
  <si>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</si>
  <si>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</si>
  <si>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</si>
  <si>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</si>
  <si>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</si>
  <si>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</si>
  <si>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</si>
  <si>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</si>
  <si>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</si>
  <si>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</si>
  <si>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</si>
  <si>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</si>
  <si>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</si>
  <si>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</si>
  <si>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</si>
  <si>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</si>
  <si>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</si>
  <si>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</si>
  <si>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</si>
  <si>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</si>
  <si>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</si>
  <si>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</si>
  <si>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</si>
  <si>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</si>
  <si>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</si>
  <si>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</si>
  <si>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</si>
  <si>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</si>
  <si>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</si>
  <si>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</si>
  <si>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</si>
  <si>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</si>
  <si>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</si>
  <si>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</si>
  <si>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</si>
  <si>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</si>
  <si>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</si>
  <si>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</si>
  <si>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</si>
  <si>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</si>
  <si>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</si>
  <si>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</si>
  <si>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</si>
  <si>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</si>
  <si>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</si>
  <si>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</si>
  <si>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</si>
  <si>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</si>
  <si>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</si>
  <si>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</si>
  <si>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</si>
  <si>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</si>
  <si>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</si>
  <si>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</si>
  <si>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</si>
  <si>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</si>
  <si>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</si>
  <si>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</si>
  <si>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</si>
  <si>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</si>
  <si>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</si>
  <si>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</si>
  <si>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</si>
  <si>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</si>
  <si>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</si>
  <si>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</si>
  <si>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</si>
  <si>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</si>
  <si>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</si>
  <si>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</si>
  <si>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</si>
  <si>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</si>
  <si>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</si>
  <si>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</si>
  <si>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</si>
  <si>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</si>
  <si>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</si>
  <si>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</si>
  <si>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</si>
  <si>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</si>
  <si>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</si>
  <si>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</si>
  <si>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</si>
  <si>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</si>
  <si>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</si>
  <si>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</si>
  <si>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</si>
  <si>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</si>
  <si>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</si>
  <si>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</si>
  <si>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</si>
  <si>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</si>
  <si>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</si>
  <si>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</si>
  <si>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</si>
  <si>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</si>
  <si>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</si>
  <si>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</si>
  <si>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</si>
  <si>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</si>
  <si>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</si>
  <si>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</si>
  <si>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</si>
  <si>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</si>
  <si>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</si>
  <si>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</si>
  <si>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</si>
  <si>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</si>
  <si>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</si>
  <si>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</si>
  <si>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</si>
  <si>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</si>
  <si>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</si>
  <si>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</si>
  <si>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</si>
  <si>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</si>
  <si>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</si>
  <si>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</si>
  <si>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</si>
  <si>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</si>
  <si>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</si>
  <si>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</si>
  <si>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</si>
  <si>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</si>
  <si>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</si>
  <si>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</si>
  <si>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</si>
  <si>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</si>
  <si>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</si>
  <si>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</si>
  <si>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</si>
  <si>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</si>
  <si>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</si>
  <si>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</si>
  <si>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</si>
  <si>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</si>
  <si>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</si>
  <si>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</si>
  <si>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</si>
  <si>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</si>
  <si>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</si>
  <si>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</si>
  <si>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</si>
  <si>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</si>
  <si>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</si>
  <si>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</si>
  <si>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</si>
  <si>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</si>
  <si>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</si>
  <si>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</si>
  <si>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</si>
  <si>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</si>
  <si>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</si>
  <si>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</si>
  <si>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</si>
  <si>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</si>
  <si>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</si>
  <si>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</si>
  <si>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</si>
  <si>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</si>
  <si>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</si>
  <si>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</si>
  <si>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</si>
  <si>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</si>
  <si>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</si>
  <si>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</si>
  <si>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</si>
  <si>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</si>
  <si>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</si>
  <si>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</si>
  <si>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</si>
  <si>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</si>
  <si>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</si>
  <si>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</si>
  <si>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</si>
  <si>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</si>
  <si>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</si>
  <si>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</si>
  <si>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</si>
  <si>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</si>
  <si>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</si>
  <si>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</si>
  <si>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</si>
  <si>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</si>
  <si>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</si>
  <si>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</si>
  <si>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</si>
  <si>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</si>
  <si>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</si>
  <si>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</si>
  <si>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</si>
  <si>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</si>
  <si>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</si>
  <si>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</si>
  <si>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</si>
  <si>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</si>
  <si>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</si>
  <si>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</si>
  <si>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</si>
  <si>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</si>
  <si>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</si>
  <si>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</si>
  <si>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</si>
  <si>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</si>
  <si>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</si>
  <si>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</si>
  <si>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</si>
  <si>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</si>
  <si>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</si>
  <si>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</si>
  <si>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</si>
  <si>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</si>
  <si>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</si>
  <si>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</si>
  <si>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</si>
  <si>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</si>
  <si>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</si>
  <si>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</si>
  <si>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</si>
  <si>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</si>
  <si>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</si>
  <si>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</si>
  <si>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</si>
  <si>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</si>
  <si>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</si>
  <si>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</si>
  <si>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</si>
  <si>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</si>
  <si>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</si>
  <si>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</si>
  <si>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</si>
  <si>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</si>
  <si>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</si>
  <si>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</si>
  <si>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</si>
  <si>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</si>
  <si>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</si>
  <si>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</si>
  <si>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</si>
  <si>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</si>
  <si>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</si>
  <si>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</si>
  <si>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</si>
  <si>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</si>
  <si>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</si>
  <si>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</si>
  <si>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</si>
  <si>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</si>
  <si>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</si>
  <si>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</si>
  <si>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</si>
  <si>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</si>
  <si>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</si>
  <si>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</si>
  <si>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</si>
  <si>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</si>
  <si>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</si>
  <si>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</si>
  <si>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</si>
  <si>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</si>
  <si>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</si>
  <si>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</si>
  <si>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</si>
  <si>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</si>
  <si>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</si>
  <si>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</si>
  <si>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</si>
  <si>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</si>
  <si>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</si>
  <si>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</si>
  <si>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</si>
  <si>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</si>
  <si>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</si>
  <si>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</si>
  <si>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</si>
  <si>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</si>
  <si>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</si>
  <si>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</si>
  <si>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</si>
  <si>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</si>
  <si>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</si>
  <si>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</si>
  <si>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</si>
  <si>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</si>
  <si>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</si>
  <si>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</si>
  <si>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</si>
  <si>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</si>
  <si>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</si>
  <si>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</si>
  <si>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</si>
  <si>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</si>
  <si>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</si>
  <si>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</si>
  <si>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</si>
  <si>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</si>
  <si>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</si>
  <si>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</si>
  <si>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</si>
  <si>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</si>
  <si>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</si>
  <si>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</si>
  <si>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</si>
  <si>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</si>
  <si>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</si>
  <si>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</si>
  <si>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</si>
  <si>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</si>
  <si>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</si>
  <si>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</si>
  <si>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</si>
  <si>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</si>
  <si>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</si>
  <si>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</si>
  <si>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</si>
  <si>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</si>
  <si>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</si>
  <si>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</si>
  <si>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</si>
  <si>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</si>
  <si>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</si>
  <si>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</si>
  <si>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</si>
  <si>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</si>
  <si>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</si>
  <si>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</si>
  <si>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</si>
  <si>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</si>
  <si>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</si>
  <si>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</si>
  <si>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</si>
  <si>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</si>
  <si>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</si>
  <si>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</si>
  <si>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</si>
  <si>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</si>
  <si>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</si>
  <si>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</si>
  <si>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</si>
  <si>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</si>
  <si>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</si>
  <si>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</si>
  <si>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</si>
  <si>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</si>
  <si>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</si>
  <si>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</si>
  <si>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</si>
  <si>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</si>
  <si>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</si>
  <si>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</si>
  <si>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</si>
  <si>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</si>
  <si>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</si>
  <si>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</si>
  <si>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</si>
  <si>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</si>
  <si>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</si>
  <si>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</si>
  <si>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</si>
  <si>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</si>
  <si>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</si>
  <si>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</si>
  <si>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</si>
  <si>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</si>
  <si>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</si>
  <si>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</si>
  <si>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</si>
  <si>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</si>
  <si>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</si>
  <si>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</si>
  <si>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</si>
  <si>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</si>
  <si>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</si>
  <si>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</si>
  <si>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</si>
  <si>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</si>
  <si>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</si>
  <si>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</si>
  <si>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</si>
  <si>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</si>
  <si>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</si>
  <si>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</si>
  <si>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</si>
  <si>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</si>
  <si>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</si>
  <si>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</si>
  <si>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</si>
  <si>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</si>
  <si>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</si>
  <si>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</si>
  <si>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</si>
  <si>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</si>
  <si>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</si>
  <si>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</si>
  <si>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</si>
  <si>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</si>
  <si>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</si>
  <si>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</si>
  <si>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</si>
  <si>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</si>
  <si>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</si>
  <si>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</si>
  <si>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</si>
  <si>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</si>
  <si>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</si>
  <si>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</si>
  <si>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</si>
  <si>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</si>
  <si>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</si>
  <si>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</si>
  <si>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</si>
  <si>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</si>
  <si>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</si>
  <si>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</si>
  <si>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</si>
  <si>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</si>
  <si>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</si>
  <si>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</si>
  <si>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</si>
  <si>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</si>
  <si>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</si>
  <si>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</si>
  <si>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</si>
  <si>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</si>
  <si>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</si>
  <si>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</si>
  <si>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</si>
  <si>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</si>
  <si>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</si>
  <si>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</si>
  <si>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</si>
  <si>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</si>
  <si>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</si>
  <si>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</si>
  <si>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</si>
  <si>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</si>
  <si>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</si>
  <si>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</si>
  <si>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</si>
  <si>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</si>
  <si>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</si>
  <si>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</si>
  <si>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</si>
  <si>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</si>
  <si>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</si>
  <si>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</si>
  <si>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</si>
  <si>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</si>
  <si>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</si>
  <si>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</si>
  <si>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</si>
  <si>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</si>
  <si>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</si>
  <si>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</si>
  <si>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</si>
  <si>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</si>
  <si>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</si>
  <si>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</si>
  <si>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</si>
  <si>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</si>
  <si>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</si>
  <si>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</si>
  <si>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</si>
  <si>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</si>
  <si>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</si>
  <si>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</si>
  <si>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</si>
  <si>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</si>
  <si>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</si>
  <si>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</si>
  <si>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</si>
  <si>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</si>
  <si>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</si>
  <si>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</si>
  <si>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</si>
  <si>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</si>
  <si>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</si>
  <si>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</si>
  <si>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</si>
  <si>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</si>
  <si>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</si>
  <si>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</si>
  <si>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</si>
  <si>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</si>
  <si>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</si>
  <si>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</si>
  <si>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</si>
  <si>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</si>
  <si>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</si>
  <si>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</si>
  <si>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</si>
  <si>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</si>
  <si>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</si>
  <si>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</si>
  <si>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</si>
  <si>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</si>
  <si>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</si>
  <si>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</si>
  <si>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</si>
  <si>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</si>
  <si>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</si>
  <si>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</si>
  <si>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</si>
  <si>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</si>
  <si>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</si>
  <si>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</si>
  <si>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</si>
  <si>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</si>
  <si>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</si>
  <si>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</si>
  <si>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</si>
  <si>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</si>
  <si>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</si>
  <si>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</si>
  <si>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</si>
  <si>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</si>
  <si>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</si>
  <si>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</si>
  <si>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</si>
  <si>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</si>
  <si>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</si>
  <si>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</si>
  <si>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</si>
  <si>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</si>
  <si>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</si>
  <si>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</si>
  <si>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</si>
  <si>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</si>
  <si>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</si>
  <si>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</si>
  <si>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</si>
  <si>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</si>
  <si>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</si>
  <si>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</si>
  <si>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</si>
  <si>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</si>
  <si>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</si>
  <si>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</si>
  <si>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</si>
  <si>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</si>
  <si>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</si>
  <si>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</si>
  <si>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</si>
  <si>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</si>
  <si>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</si>
  <si>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</si>
  <si>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</si>
  <si>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</si>
  <si>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</si>
  <si>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</si>
  <si>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</si>
  <si>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</si>
  <si>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</si>
  <si>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</si>
  <si>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</si>
  <si>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</si>
  <si>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</si>
  <si>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</si>
  <si>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</si>
  <si>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</si>
  <si>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</si>
  <si>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</si>
  <si>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</si>
  <si>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</si>
  <si>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</si>
  <si>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</si>
  <si>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</si>
  <si>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</si>
  <si>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</si>
  <si>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</si>
  <si>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</si>
  <si>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</si>
  <si>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</si>
  <si>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</si>
  <si>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</si>
  <si>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</si>
  <si>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</si>
  <si>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</si>
  <si>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</si>
  <si>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</si>
  <si>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</si>
  <si>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</si>
  <si>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</si>
  <si>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</si>
  <si>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</si>
  <si>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</si>
  <si>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</si>
  <si>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</si>
  <si>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</si>
  <si>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</si>
  <si>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</si>
  <si>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</si>
  <si>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</si>
  <si>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</si>
  <si>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</si>
  <si>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</si>
  <si>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</si>
  <si>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</si>
  <si>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</si>
  <si>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</si>
  <si>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</si>
  <si>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</si>
  <si>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</si>
  <si>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</si>
  <si>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</si>
  <si>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</si>
  <si>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</si>
  <si>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</si>
  <si>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</si>
  <si>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</si>
  <si>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</si>
  <si>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</si>
  <si>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</si>
  <si>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</si>
  <si>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</si>
  <si>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</si>
  <si>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</si>
  <si>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</si>
  <si>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</si>
  <si>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</si>
  <si>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</si>
  <si>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</si>
  <si>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</si>
  <si>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</si>
  <si>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</si>
  <si>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</si>
  <si>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</si>
  <si>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</si>
  <si>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</si>
  <si>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</si>
  <si>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</si>
  <si>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</si>
  <si>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</si>
  <si>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</si>
  <si>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</si>
  <si>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</si>
  <si>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</si>
  <si>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</si>
  <si>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</si>
  <si>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</si>
  <si>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</si>
  <si>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</si>
  <si>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</si>
  <si>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</si>
  <si>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</si>
  <si>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</si>
  <si>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</si>
  <si>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</si>
  <si>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</si>
  <si>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</si>
  <si>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</si>
  <si>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</si>
  <si>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</si>
  <si>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</si>
  <si>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</si>
  <si>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</si>
  <si>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</si>
  <si>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</si>
  <si>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</si>
  <si>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</si>
  <si>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</si>
  <si>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</si>
  <si>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</si>
  <si>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</si>
  <si>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</si>
  <si>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</si>
  <si>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</si>
  <si>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</si>
  <si>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</si>
  <si>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</si>
  <si>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</si>
  <si>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</si>
  <si>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</si>
  <si>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</si>
  <si>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</si>
  <si>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</si>
  <si>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</si>
  <si>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</si>
  <si>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</si>
  <si>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</si>
  <si>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</si>
  <si>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</si>
  <si>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</si>
  <si>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</si>
  <si>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</si>
  <si>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</si>
  <si>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</si>
  <si>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</si>
  <si>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</si>
  <si>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</si>
  <si>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</si>
  <si>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</si>
  <si>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</si>
  <si>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</si>
  <si>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</si>
  <si>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</si>
  <si>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</si>
  <si>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</si>
  <si>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</si>
  <si>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</si>
  <si>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</si>
  <si>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</si>
  <si>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</si>
  <si>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</si>
  <si>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</si>
  <si>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</si>
  <si>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</si>
  <si>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</si>
  <si>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</si>
  <si>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</si>
  <si>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</si>
  <si>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</si>
  <si>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</si>
  <si>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</si>
  <si>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</si>
  <si>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</si>
  <si>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</si>
  <si>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</si>
  <si>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</si>
  <si>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</si>
  <si>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</si>
  <si>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</si>
  <si>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</si>
  <si>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</si>
  <si>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</si>
  <si>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</si>
  <si>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</si>
  <si>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</si>
  <si>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</si>
  <si>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</si>
  <si>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</si>
  <si>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</si>
  <si>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</si>
  <si>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</si>
  <si>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</si>
  <si>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</si>
  <si>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</si>
  <si>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</si>
  <si>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</si>
  <si>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</si>
  <si>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</si>
  <si>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</si>
  <si>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</si>
  <si>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</si>
  <si>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</si>
  <si>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</si>
  <si>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</si>
  <si>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</si>
  <si>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</si>
  <si>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</si>
  <si>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</si>
  <si>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</si>
  <si>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</si>
  <si>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</si>
  <si>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</si>
  <si>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</si>
  <si>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</si>
  <si>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</si>
  <si>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</si>
  <si>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</si>
  <si>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</si>
  <si>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</si>
  <si>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</si>
  <si>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</si>
  <si>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</si>
  <si>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</si>
  <si>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</si>
  <si>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</si>
  <si>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</si>
  <si>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</si>
  <si>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</si>
  <si>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</si>
  <si>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</si>
  <si>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</si>
  <si>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</si>
  <si>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</si>
  <si>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</si>
  <si>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</si>
  <si>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</si>
  <si>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</si>
  <si>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</si>
  <si>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</si>
  <si>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</si>
  <si>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</si>
  <si>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</si>
  <si>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</si>
  <si>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</si>
  <si>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</si>
  <si>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</si>
  <si>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</si>
  <si>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</si>
  <si>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</si>
  <si>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</si>
  <si>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</si>
  <si>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</si>
  <si>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</si>
  <si>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</si>
  <si>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</si>
  <si>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</si>
  <si>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</si>
  <si>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</si>
  <si>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</si>
  <si>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</si>
  <si>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</si>
  <si>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</si>
  <si>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</si>
  <si>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</si>
  <si>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</si>
  <si>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</si>
  <si>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</si>
  <si>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</si>
  <si>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</si>
  <si>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</si>
  <si>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</si>
  <si>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</si>
  <si>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</si>
  <si>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</si>
  <si>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</si>
  <si>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</si>
  <si>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</si>
  <si>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</si>
  <si>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</si>
  <si>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</si>
  <si>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</si>
  <si>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</si>
  <si>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</si>
  <si>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</si>
  <si>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</si>
  <si>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</si>
  <si>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</si>
  <si>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</si>
  <si>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</si>
  <si>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</si>
  <si>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</si>
  <si>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</si>
  <si>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</si>
  <si>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</si>
  <si>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</si>
  <si>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</si>
  <si>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</si>
  <si>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</si>
  <si>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</si>
  <si>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</si>
  <si>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</si>
  <si>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</si>
  <si>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</si>
  <si>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</si>
  <si>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</si>
  <si>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</si>
  <si>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</si>
  <si>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</si>
  <si>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</si>
  <si>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</si>
  <si>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</si>
  <si>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</si>
  <si>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</si>
  <si>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</si>
  <si>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</si>
  <si>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</si>
  <si>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</si>
  <si>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</si>
  <si>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</si>
  <si>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</si>
  <si>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</si>
  <si>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</si>
  <si>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</si>
  <si>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</si>
  <si>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</si>
  <si>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</si>
  <si>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</si>
  <si>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</si>
  <si>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</si>
  <si>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</si>
  <si>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</si>
  <si>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</si>
  <si>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</si>
  <si>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</si>
  <si>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</si>
  <si>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</si>
  <si>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</si>
  <si>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</si>
  <si>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</si>
  <si>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</si>
  <si>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</si>
  <si>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</si>
  <si>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</si>
  <si>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</si>
  <si>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</si>
  <si>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</si>
  <si>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</si>
  <si>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</si>
  <si>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</si>
  <si>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</si>
  <si>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</si>
  <si>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</si>
  <si>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</si>
  <si>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</si>
  <si>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</si>
  <si>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</si>
  <si>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</si>
  <si>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</si>
  <si>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</si>
  <si>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</si>
  <si>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</si>
  <si>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</si>
  <si>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</si>
  <si>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</si>
  <si>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</si>
  <si>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</si>
  <si>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</si>
  <si>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</si>
  <si>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</si>
  <si>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</si>
  <si>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</si>
  <si>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</si>
  <si>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</si>
  <si>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</si>
  <si>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</si>
  <si>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</si>
  <si>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</si>
  <si>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</si>
  <si>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</si>
  <si>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</si>
  <si>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</si>
  <si>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</si>
  <si>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</si>
  <si>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</si>
  <si>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</si>
  <si>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</si>
  <si>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</si>
  <si>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</si>
  <si>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</si>
  <si>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</si>
  <si>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</si>
  <si>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</si>
  <si>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</si>
  <si>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</si>
  <si>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</si>
  <si>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</si>
  <si>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</si>
  <si>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</si>
  <si>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</si>
  <si>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</si>
  <si>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</si>
  <si>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</si>
  <si>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</si>
  <si>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</si>
  <si>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</si>
  <si>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</si>
  <si>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</si>
  <si>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</si>
  <si>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</si>
  <si>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</si>
  <si>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</si>
  <si>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</si>
  <si>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</si>
  <si>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</si>
  <si>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</si>
  <si>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</si>
  <si>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</si>
  <si>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</si>
  <si>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</si>
  <si>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</si>
  <si>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</si>
  <si>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</si>
  <si>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</si>
  <si>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</si>
  <si>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</si>
  <si>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</si>
  <si>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</si>
  <si>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</si>
  <si>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</si>
  <si>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</si>
  <si>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</si>
  <si>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</si>
  <si>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</si>
  <si>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</si>
  <si>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</si>
  <si>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</si>
  <si>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</si>
  <si>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</si>
  <si>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</si>
  <si>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</si>
  <si>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</si>
  <si>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</si>
  <si>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</si>
  <si>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</si>
  <si>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</si>
  <si>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</si>
  <si>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</si>
  <si>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</si>
  <si>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</si>
  <si>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</si>
  <si>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</si>
  <si>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</si>
  <si>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</si>
  <si>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</si>
  <si>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</si>
  <si>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</si>
  <si>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</si>
  <si>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</si>
  <si>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</si>
  <si>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</si>
  <si>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</si>
  <si>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</si>
  <si>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</si>
  <si>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</si>
  <si>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</si>
  <si>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</si>
  <si>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</si>
  <si>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</si>
  <si>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</si>
  <si>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</si>
  <si>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</si>
  <si>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</si>
  <si>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</si>
  <si>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</si>
  <si>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</si>
  <si>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</si>
  <si>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</si>
  <si>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</si>
  <si>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</si>
  <si>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</si>
  <si>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</si>
  <si>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</si>
  <si>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</si>
  <si>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</si>
  <si>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</si>
  <si>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</si>
  <si>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</si>
  <si>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</si>
  <si>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</si>
  <si>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</si>
  <si>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</si>
  <si>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</si>
  <si>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</si>
  <si>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</si>
  <si>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</si>
  <si>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</si>
  <si>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</si>
  <si>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</si>
  <si>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</si>
  <si>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</si>
  <si>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</si>
  <si>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</si>
  <si>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</si>
  <si>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</si>
  <si>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</si>
  <si>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</si>
  <si>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</si>
  <si>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</si>
  <si>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</si>
  <si>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</si>
  <si>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</si>
  <si>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</si>
  <si>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</si>
  <si>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</si>
  <si>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</si>
  <si>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</si>
  <si>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</si>
  <si>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</si>
  <si>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</si>
  <si>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</si>
  <si>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</si>
  <si>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</si>
  <si>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</si>
  <si>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</si>
  <si>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</si>
  <si>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</si>
  <si>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</si>
  <si>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</si>
  <si>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</si>
  <si>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</si>
  <si>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</si>
  <si>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</si>
  <si>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</si>
  <si>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</si>
  <si>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</si>
  <si>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</si>
  <si>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</si>
  <si>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</si>
  <si>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</si>
  <si>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</si>
  <si>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</si>
  <si>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</si>
  <si>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</si>
  <si>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</si>
  <si>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</si>
  <si>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</si>
  <si>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</si>
  <si>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</si>
  <si>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</si>
  <si>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</si>
  <si>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</si>
  <si>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</si>
  <si>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</si>
  <si>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</si>
  <si>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</si>
  <si>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</si>
  <si>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</si>
  <si>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</si>
  <si>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</si>
  <si>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</si>
  <si>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</si>
  <si>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</si>
  <si>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</si>
  <si>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</si>
  <si>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</si>
  <si>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</si>
  <si>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</si>
  <si>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</si>
  <si>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</si>
  <si>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</si>
  <si>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</si>
  <si>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</si>
  <si>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</si>
  <si>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</si>
  <si>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</si>
  <si>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</si>
  <si>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</si>
  <si>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</si>
  <si>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</si>
  <si>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</si>
  <si>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</si>
  <si>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</si>
  <si>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</si>
  <si>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</si>
  <si>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</si>
  <si>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</si>
  <si>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</si>
  <si>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</si>
  <si>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</si>
  <si>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</si>
  <si>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</si>
  <si>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</si>
  <si>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</si>
  <si>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</si>
  <si>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</si>
  <si>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</si>
  <si>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</si>
  <si>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</si>
  <si>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</si>
  <si>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</si>
  <si>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</si>
  <si>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</si>
  <si>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</si>
  <si>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</si>
  <si>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</si>
  <si>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</si>
  <si>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</si>
  <si>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</si>
  <si>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</si>
  <si>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</si>
  <si>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</si>
  <si>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</si>
  <si>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</si>
  <si>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</si>
  <si>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</si>
  <si>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</si>
  <si>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</si>
  <si>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</si>
  <si>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</si>
  <si>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</si>
  <si>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</si>
  <si>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</si>
  <si>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</si>
  <si>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</si>
  <si>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</si>
  <si>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</si>
  <si>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</si>
  <si>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</si>
  <si>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</si>
  <si>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</si>
  <si>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</si>
  <si>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</si>
  <si>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</si>
  <si>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</si>
  <si>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</si>
  <si>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</si>
  <si>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</si>
  <si>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</si>
  <si>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</si>
  <si>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</si>
  <si>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</si>
  <si>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</si>
  <si>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</si>
  <si>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</si>
  <si>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</si>
  <si>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</si>
  <si>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</si>
  <si>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</si>
  <si>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</si>
  <si>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</si>
  <si>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</si>
  <si>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</si>
  <si>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</si>
  <si>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</si>
  <si>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</si>
  <si>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</si>
  <si>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</si>
  <si>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</si>
  <si>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</si>
  <si>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</si>
  <si>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</si>
  <si>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</si>
  <si>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</si>
  <si>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</si>
  <si>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</si>
  <si>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</si>
  <si>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</si>
  <si>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</si>
  <si>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</si>
  <si>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</si>
  <si>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</si>
  <si>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</si>
  <si>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</si>
  <si>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</si>
  <si>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</si>
  <si>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</si>
  <si>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</si>
  <si>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</si>
  <si>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</si>
  <si>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</si>
  <si>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</si>
  <si>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</si>
  <si>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</si>
  <si>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</si>
  <si>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</si>
  <si>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</si>
  <si>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</si>
  <si>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</si>
  <si>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</si>
  <si>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</si>
  <si>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</si>
  <si>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</si>
  <si>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</si>
  <si>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</si>
  <si>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</si>
  <si>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</si>
  <si>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</si>
  <si>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</si>
  <si>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</si>
  <si>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</si>
  <si>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</si>
  <si>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</si>
  <si>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</si>
  <si>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</si>
  <si>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</si>
  <si>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</si>
  <si>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</si>
  <si>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</si>
  <si>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</si>
  <si>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</si>
  <si>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</si>
  <si>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</si>
  <si>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</si>
  <si>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</si>
  <si>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</si>
  <si>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</si>
  <si>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</si>
  <si>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</si>
  <si>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</si>
  <si>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</si>
  <si>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</si>
  <si>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</si>
  <si>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</si>
  <si>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</si>
  <si>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</si>
  <si>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</si>
  <si>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</si>
  <si>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</si>
  <si>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</si>
  <si>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</si>
  <si>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</si>
  <si>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</si>
  <si>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</si>
  <si>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</si>
  <si>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</si>
  <si>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</si>
  <si>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</si>
  <si>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</si>
  <si>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</si>
  <si>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</si>
  <si>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</si>
  <si>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</si>
  <si>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</si>
  <si>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</si>
  <si>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</si>
  <si>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</si>
  <si>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</si>
  <si>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</si>
  <si>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</si>
  <si>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</si>
  <si>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</si>
  <si>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</si>
  <si>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</si>
  <si>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</si>
  <si>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</si>
  <si>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</si>
  <si>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</si>
  <si>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</si>
  <si>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</si>
  <si>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</si>
  <si>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</si>
  <si>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</si>
  <si>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</si>
  <si>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</si>
  <si>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</si>
  <si>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</si>
  <si>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</si>
  <si>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</si>
  <si>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</si>
  <si>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</si>
  <si>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</si>
  <si>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</si>
  <si>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</si>
  <si>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</si>
  <si>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</si>
  <si>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</si>
  <si>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</si>
  <si>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</si>
  <si>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</si>
  <si>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</si>
  <si>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</si>
  <si>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</si>
  <si>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</si>
  <si>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</si>
  <si>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</si>
  <si>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</si>
  <si>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</si>
  <si>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</si>
  <si>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</si>
  <si>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</si>
  <si>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</si>
  <si>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</si>
  <si>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</si>
  <si>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</si>
  <si>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</si>
  <si>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</si>
  <si>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</si>
  <si>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</si>
  <si>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</si>
  <si>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</si>
  <si>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</si>
  <si>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</si>
  <si>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</si>
  <si>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</si>
  <si>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</si>
  <si>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</si>
  <si>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</si>
  <si>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</si>
  <si>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</si>
  <si>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</si>
  <si>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</si>
  <si>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</si>
  <si>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</si>
  <si>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</si>
  <si>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</si>
  <si>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</si>
  <si>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</si>
  <si>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</si>
  <si>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</si>
  <si>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</si>
  <si>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</si>
  <si>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</si>
  <si>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</si>
  <si>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</si>
  <si>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</si>
  <si>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</si>
  <si>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</si>
  <si>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</si>
  <si>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</si>
  <si>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</si>
  <si>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</si>
  <si>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</si>
  <si>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</si>
  <si>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</si>
  <si>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</si>
  <si>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</si>
  <si>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</si>
  <si>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</si>
  <si>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</si>
  <si>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</si>
  <si>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</si>
  <si>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</si>
  <si>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</si>
  <si>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</si>
  <si>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</si>
  <si>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</si>
  <si>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</si>
  <si>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</si>
  <si>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</si>
  <si>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</si>
  <si>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</si>
  <si>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</si>
  <si>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</si>
  <si>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</si>
  <si>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</si>
  <si>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</si>
  <si>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</si>
  <si>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</si>
  <si>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</si>
  <si>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</si>
  <si>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</si>
  <si>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</si>
  <si>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</si>
  <si>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</si>
  <si>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</si>
  <si>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</si>
  <si>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</si>
  <si>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</si>
  <si>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</si>
  <si>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</si>
  <si>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</si>
  <si>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</si>
  <si>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</si>
  <si>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</si>
  <si>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</si>
  <si>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</si>
  <si>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</si>
  <si>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</si>
  <si>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</si>
  <si>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</si>
  <si>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</si>
  <si>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</si>
  <si>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</si>
  <si>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</si>
  <si>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</si>
  <si>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</si>
  <si>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</si>
  <si>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</si>
  <si>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</si>
  <si>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</si>
  <si>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</si>
  <si>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</si>
  <si>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</si>
  <si>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</si>
  <si>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</si>
  <si>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</si>
  <si>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</si>
  <si>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</si>
  <si>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</si>
  <si>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</si>
  <si>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</si>
  <si>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</si>
  <si>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</si>
  <si>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</si>
  <si>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</si>
  <si>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</si>
  <si>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</si>
  <si>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</si>
  <si>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</si>
  <si>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</si>
  <si>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</si>
  <si>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</si>
  <si>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</si>
  <si>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</si>
  <si>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</si>
  <si>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</si>
  <si>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</si>
  <si>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</si>
  <si>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</si>
  <si>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</si>
  <si>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</si>
  <si>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</si>
  <si>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</si>
  <si>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</si>
  <si>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</si>
  <si>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</si>
  <si>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</si>
  <si>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</si>
  <si>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</si>
  <si>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</si>
  <si>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</si>
  <si>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</si>
  <si>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</si>
  <si>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</si>
  <si>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</si>
  <si>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</si>
  <si>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</si>
  <si>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</si>
  <si>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</si>
  <si>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</si>
  <si>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</si>
  <si>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</si>
  <si>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</si>
  <si>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</si>
  <si>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</si>
  <si>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</si>
  <si>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</si>
  <si>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</si>
  <si>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</si>
  <si>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</si>
  <si>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</si>
  <si>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</si>
  <si>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</si>
  <si>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</si>
  <si>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</si>
  <si>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</si>
  <si>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</si>
  <si>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</si>
  <si>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</si>
  <si>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</si>
  <si>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</si>
  <si>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</si>
  <si>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</si>
  <si>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</si>
  <si>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</si>
  <si>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</si>
  <si>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</si>
  <si>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</si>
  <si>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</si>
  <si>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</si>
  <si>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</si>
  <si>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</si>
  <si>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</si>
  <si>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</si>
  <si>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</si>
  <si>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</si>
  <si>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</si>
  <si>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</si>
  <si>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</si>
  <si>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</si>
  <si>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</si>
  <si>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</si>
  <si>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</si>
  <si>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</si>
  <si>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</si>
  <si>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</si>
  <si>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</si>
  <si>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</si>
  <si>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</si>
  <si>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</si>
  <si>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</si>
  <si>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</si>
  <si>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</si>
  <si>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</si>
  <si>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</si>
  <si>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</si>
  <si>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</si>
  <si>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</si>
  <si>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</si>
  <si>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</si>
  <si>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</si>
  <si>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</si>
  <si>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</si>
  <si>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</si>
  <si>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</si>
  <si>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</si>
  <si>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</si>
  <si>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</si>
  <si>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</si>
  <si>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</si>
  <si>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</si>
  <si>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</si>
  <si>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</si>
  <si>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</si>
  <si>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</si>
  <si>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</si>
  <si>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</si>
  <si>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</si>
  <si>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</si>
  <si>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</si>
  <si>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</si>
  <si>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</si>
  <si>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</si>
  <si>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</si>
  <si>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</si>
  <si>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</si>
  <si>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</si>
  <si>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</si>
  <si>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</si>
  <si>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</si>
  <si>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</si>
  <si>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</si>
  <si>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</si>
  <si>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</si>
  <si>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</si>
  <si>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</si>
  <si>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</si>
  <si>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</si>
  <si>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</si>
  <si>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</si>
  <si>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</si>
  <si>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</si>
  <si>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</si>
  <si>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</si>
  <si>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</si>
  <si>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</si>
  <si>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</si>
  <si>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</si>
  <si>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</si>
  <si>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</si>
  <si>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</si>
  <si>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</si>
  <si>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</si>
  <si>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</si>
  <si>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</si>
  <si>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</si>
  <si>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</si>
  <si>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</si>
  <si>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</si>
  <si>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</si>
  <si>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</si>
  <si>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</si>
  <si>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</si>
  <si>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</si>
  <si>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</si>
  <si>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</si>
  <si>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</si>
  <si>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</si>
  <si>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</si>
  <si>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</si>
  <si>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</si>
  <si>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</si>
  <si>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</si>
  <si>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</si>
  <si>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</si>
  <si>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</si>
  <si>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</si>
  <si>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</si>
  <si>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</si>
  <si>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</si>
  <si>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</si>
  <si>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</si>
  <si>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</si>
  <si>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</si>
  <si>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</si>
  <si>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</si>
  <si>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</si>
  <si>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</si>
  <si>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</si>
  <si>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</si>
  <si>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</si>
  <si>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</si>
  <si>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</si>
  <si>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</si>
  <si>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</si>
  <si>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</si>
  <si>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</si>
  <si>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</si>
  <si>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</si>
  <si>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</si>
  <si>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</si>
  <si>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</si>
  <si>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</si>
  <si>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</si>
  <si>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</si>
  <si>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</si>
  <si>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</si>
  <si>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</si>
  <si>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</si>
  <si>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</si>
  <si>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</si>
  <si>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</si>
  <si>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</si>
  <si>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</si>
  <si>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</si>
  <si>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</si>
  <si>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</si>
  <si>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</si>
  <si>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</si>
  <si>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</si>
  <si>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</si>
  <si>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</si>
  <si>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</si>
  <si>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</si>
  <si>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</si>
  <si>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</si>
  <si>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</si>
  <si>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</si>
  <si>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</si>
  <si>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</si>
  <si>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</si>
  <si>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</si>
  <si>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</si>
  <si>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</si>
  <si>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</si>
  <si>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</si>
  <si>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</si>
  <si>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</si>
  <si>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</si>
  <si>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</si>
  <si>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</si>
  <si>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</si>
  <si>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</si>
  <si>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</si>
  <si>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</si>
  <si>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</si>
  <si>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</si>
  <si>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</si>
  <si>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</si>
  <si>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</si>
  <si>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</si>
  <si>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</si>
  <si>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</si>
  <si>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</si>
  <si>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</si>
  <si>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</si>
  <si>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</si>
  <si>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</si>
  <si>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</si>
  <si>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</si>
  <si>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</si>
  <si>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</si>
  <si>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</si>
  <si>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</si>
  <si>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</si>
  <si>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</si>
  <si>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</si>
  <si>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</si>
  <si>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</si>
  <si>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</si>
  <si>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</si>
  <si>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</si>
  <si>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</si>
  <si>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</si>
  <si>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</si>
  <si>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</si>
  <si>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</si>
  <si>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</si>
  <si>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</si>
  <si>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</si>
  <si>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</si>
  <si>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</si>
  <si>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</si>
  <si>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</si>
  <si>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</si>
  <si>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</si>
  <si>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</si>
  <si>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</si>
  <si>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</si>
  <si>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</si>
  <si>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</si>
  <si>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</si>
  <si>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</si>
  <si>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</si>
  <si>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</si>
  <si>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</si>
  <si>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</si>
  <si>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</si>
  <si>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</si>
  <si>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</si>
  <si>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</si>
  <si>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</si>
  <si>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</si>
  <si>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</si>
  <si>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</si>
  <si>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</si>
  <si>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</si>
  <si>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</si>
  <si>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</si>
  <si>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</si>
  <si>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</si>
  <si>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</si>
  <si>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</si>
  <si>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</si>
  <si>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</si>
  <si>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</si>
  <si>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</si>
  <si>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</si>
  <si>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</si>
  <si>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</si>
  <si>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</si>
  <si>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</si>
  <si>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</si>
  <si>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</si>
  <si>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</si>
  <si>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</si>
  <si>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</si>
  <si>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</si>
  <si>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</si>
  <si>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</si>
  <si>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</si>
  <si>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</si>
  <si>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</si>
  <si>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</si>
  <si>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</si>
  <si>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</si>
  <si>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</si>
  <si>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</si>
  <si>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</si>
  <si>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</si>
  <si>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</si>
  <si>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</si>
  <si>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</si>
  <si>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</si>
  <si>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</si>
  <si>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</si>
  <si>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</si>
  <si>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</si>
  <si>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</si>
  <si>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</si>
  <si>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</si>
  <si>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</si>
  <si>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</si>
  <si>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</si>
  <si>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</si>
  <si>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</si>
  <si>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</si>
  <si>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</si>
  <si>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</si>
  <si>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</si>
  <si>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</si>
  <si>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</si>
  <si>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</si>
  <si>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</si>
  <si>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</si>
  <si>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</si>
  <si>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</si>
  <si>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</si>
  <si>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</si>
  <si>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</si>
  <si>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</si>
  <si>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</si>
  <si>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</si>
  <si>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</si>
  <si>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</si>
  <si>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</si>
  <si>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</si>
  <si>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</si>
  <si>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</si>
  <si>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</si>
  <si>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</si>
  <si>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</si>
  <si>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</si>
  <si>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</si>
  <si>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</si>
  <si>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</si>
  <si>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</si>
  <si>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</si>
  <si>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</si>
  <si>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</si>
  <si>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</si>
  <si>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</si>
  <si>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</si>
  <si>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</si>
  <si>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</si>
  <si>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</si>
  <si>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</si>
  <si>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</si>
  <si>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</si>
  <si>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</si>
  <si>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</si>
  <si>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</si>
  <si>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</si>
  <si>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</si>
  <si>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</si>
  <si>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</si>
  <si>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</si>
  <si>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</si>
  <si>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</si>
  <si>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</si>
  <si>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</si>
  <si>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</si>
  <si>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</si>
  <si>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</si>
  <si>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</si>
  <si>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</si>
  <si>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</si>
  <si>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</si>
  <si>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</si>
  <si>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</si>
  <si>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</si>
  <si>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</si>
  <si>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</si>
  <si>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</si>
  <si>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</si>
  <si>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</si>
  <si>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</si>
  <si>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</si>
  <si>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</si>
  <si>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</si>
  <si>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</si>
  <si>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</si>
  <si>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</si>
  <si>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</si>
  <si>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</si>
  <si>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</si>
  <si>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</si>
  <si>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</si>
  <si>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</si>
  <si>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</si>
  <si>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</si>
  <si>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</si>
  <si>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</si>
  <si>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</si>
  <si>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</si>
  <si>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</si>
  <si>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</si>
  <si>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</si>
  <si>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</si>
  <si>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</si>
  <si>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</si>
  <si>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</si>
  <si>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</si>
  <si>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</si>
  <si>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</si>
  <si>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</si>
  <si>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</si>
  <si>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</si>
  <si>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</si>
  <si>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</si>
  <si>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</si>
  <si>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</si>
  <si>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</si>
  <si>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</si>
  <si>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</si>
  <si>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</si>
  <si>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</si>
  <si>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</si>
  <si>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</si>
  <si>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</si>
  <si>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</si>
  <si>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</si>
  <si>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</si>
  <si>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</si>
  <si>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</si>
  <si>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</si>
  <si>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</si>
  <si>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</si>
  <si>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</si>
  <si>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</si>
  <si>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</si>
  <si>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</si>
  <si>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</si>
  <si>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</si>
  <si>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</si>
  <si>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</si>
  <si>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</si>
  <si>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</si>
  <si>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</si>
  <si>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</si>
  <si>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</si>
  <si>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</si>
  <si>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</si>
  <si>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</si>
  <si>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</si>
  <si>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</si>
  <si>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</si>
  <si>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</si>
  <si>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</si>
  <si>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</si>
  <si>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</si>
  <si>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</si>
  <si>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</si>
  <si>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</si>
  <si>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</si>
  <si>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</si>
  <si>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</si>
  <si>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</si>
  <si>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</si>
  <si>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</si>
  <si>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</si>
  <si>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</si>
  <si>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</si>
  <si>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</si>
  <si>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</si>
  <si>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</si>
  <si>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</si>
  <si>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</si>
  <si>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</si>
  <si>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</si>
  <si>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</si>
  <si>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</si>
  <si>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</si>
  <si>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</si>
  <si>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</si>
  <si>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</si>
  <si>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</si>
  <si>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</si>
  <si>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</si>
  <si>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</si>
  <si>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</si>
  <si>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</si>
  <si>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</si>
  <si>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</si>
  <si>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</si>
  <si>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</si>
  <si>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</si>
  <si>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</si>
  <si>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</si>
  <si>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</si>
  <si>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</si>
  <si>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</si>
  <si>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</si>
  <si>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</si>
  <si>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</si>
  <si>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</si>
  <si>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</si>
  <si>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</si>
  <si>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</si>
  <si>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</si>
  <si>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</si>
  <si>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</si>
  <si>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</si>
  <si>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</si>
  <si>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</si>
  <si>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</si>
  <si>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</si>
  <si>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</si>
  <si>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</si>
  <si>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</si>
  <si>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</si>
  <si>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</si>
  <si>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</si>
  <si>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</si>
  <si>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</si>
  <si>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</si>
  <si>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</si>
  <si>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</si>
  <si>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</si>
  <si>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</si>
  <si>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</si>
  <si>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</si>
  <si>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</si>
  <si>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</si>
  <si>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</si>
  <si>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</si>
  <si>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</si>
  <si>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</si>
  <si>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</si>
  <si>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</si>
  <si>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</si>
  <si>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</si>
  <si>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</si>
  <si>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</si>
  <si>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</si>
  <si>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</si>
  <si>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</si>
  <si>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</si>
  <si>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</si>
  <si>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</si>
  <si>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</si>
  <si>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</si>
  <si>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</si>
  <si>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</si>
  <si>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</si>
  <si>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</si>
  <si>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</si>
  <si>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</si>
  <si>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</si>
  <si>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</si>
  <si>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</si>
  <si>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</si>
  <si>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</si>
  <si>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</si>
  <si>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</si>
  <si>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</si>
  <si>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</si>
  <si>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</si>
  <si>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</si>
  <si>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</si>
  <si>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</si>
  <si>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</si>
  <si>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</si>
  <si>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</si>
  <si>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</si>
  <si>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</si>
  <si>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</si>
  <si>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</si>
  <si>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</si>
  <si>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</si>
  <si>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</si>
  <si>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</si>
  <si>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</si>
  <si>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</si>
  <si>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</si>
  <si>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</si>
  <si>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</si>
  <si>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</si>
  <si>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</si>
  <si>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</si>
  <si>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</si>
  <si>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</si>
  <si>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</si>
  <si>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</si>
  <si>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</si>
  <si>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</si>
  <si>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</si>
  <si>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</si>
  <si>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</si>
  <si>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</si>
  <si>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</si>
  <si>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</si>
  <si>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</si>
  <si>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</si>
  <si>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</si>
  <si>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</si>
  <si>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</si>
  <si>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</si>
  <si>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</si>
  <si>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</si>
  <si>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</si>
  <si>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</si>
  <si>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</si>
  <si>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</si>
  <si>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</si>
  <si>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</si>
  <si>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</si>
  <si>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</si>
  <si>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</si>
  <si>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</si>
  <si>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</si>
  <si>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</si>
  <si>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</si>
  <si>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</si>
  <si>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</si>
  <si>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</si>
  <si>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</si>
  <si>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</si>
  <si>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</si>
  <si>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</si>
  <si>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</si>
  <si>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</si>
  <si>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</si>
  <si>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</si>
  <si>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</si>
  <si>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</si>
  <si>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</si>
  <si>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</si>
  <si>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</si>
  <si>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</si>
  <si>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</si>
  <si>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</si>
  <si>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</si>
  <si>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</si>
  <si>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</si>
  <si>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</si>
  <si>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</si>
  <si>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</si>
  <si>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</si>
  <si>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</si>
  <si>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</si>
  <si>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</si>
  <si>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</si>
  <si>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</si>
  <si>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</si>
  <si>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</si>
  <si>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</si>
  <si>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</si>
  <si>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</si>
  <si>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</si>
  <si>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</si>
  <si>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</si>
  <si>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</si>
  <si>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</si>
  <si>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</si>
  <si>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</si>
  <si>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</si>
  <si>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</si>
  <si>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</si>
  <si>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</si>
  <si>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</si>
  <si>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</si>
  <si>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</si>
  <si>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</si>
  <si>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</si>
  <si>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</si>
  <si>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</si>
  <si>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</si>
  <si>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</si>
  <si>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</si>
  <si>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</si>
  <si>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</si>
  <si>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</si>
  <si>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</si>
  <si>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</si>
  <si>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</si>
  <si>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</si>
  <si>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</si>
  <si>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</si>
  <si>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</si>
  <si>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</si>
  <si>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</si>
  <si>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</si>
  <si>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</si>
  <si>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</si>
  <si>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</si>
  <si>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</si>
  <si>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</si>
  <si>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</si>
  <si>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</si>
  <si>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</si>
  <si>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</si>
  <si>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</si>
  <si>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</si>
  <si>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</si>
  <si>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</si>
  <si>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</si>
  <si>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</si>
  <si>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</si>
  <si>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</si>
  <si>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</si>
  <si>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</si>
  <si>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</si>
  <si>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</si>
  <si>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</si>
  <si>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</si>
  <si>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</si>
  <si>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</si>
  <si>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</si>
  <si>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</si>
  <si>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</si>
  <si>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</si>
  <si>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</si>
  <si>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</si>
  <si>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</si>
  <si>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</si>
  <si>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</si>
  <si>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</si>
  <si>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</si>
  <si>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</si>
  <si>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</si>
  <si>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</si>
  <si>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</si>
  <si>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</si>
  <si>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</si>
  <si>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</si>
  <si>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</si>
  <si>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</si>
  <si>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</si>
  <si>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</si>
  <si>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</si>
  <si>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</si>
  <si>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</si>
  <si>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</si>
  <si>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</si>
  <si>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</si>
  <si>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</si>
  <si>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</si>
  <si>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</si>
  <si>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</si>
  <si>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</si>
  <si>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</si>
  <si>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</si>
  <si>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</si>
  <si>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</si>
  <si>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</si>
  <si>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</si>
  <si>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</si>
  <si>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</si>
  <si>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</si>
  <si>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</si>
  <si>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</si>
  <si>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</si>
  <si>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</si>
  <si>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</si>
  <si>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</si>
  <si>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</si>
  <si>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</si>
  <si>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</si>
  <si>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</si>
  <si>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</si>
  <si>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</si>
  <si>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</si>
  <si>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</si>
  <si>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</si>
  <si>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</si>
  <si>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</si>
  <si>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</si>
  <si>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</si>
  <si>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</si>
  <si>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</si>
  <si>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</si>
  <si>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</si>
  <si>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</si>
  <si>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</si>
  <si>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</si>
  <si>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</si>
  <si>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</si>
  <si>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</si>
  <si>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</si>
  <si>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</si>
  <si>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</si>
  <si>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</si>
  <si>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</si>
  <si>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</si>
  <si>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</si>
  <si>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</si>
  <si>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</si>
  <si>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</si>
  <si>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</si>
  <si>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</si>
  <si>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</si>
  <si>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</si>
  <si>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</si>
  <si>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</si>
  <si>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</si>
  <si>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</si>
  <si>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</si>
  <si>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</si>
  <si>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</si>
  <si>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</si>
  <si>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</si>
  <si>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</si>
  <si>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</si>
  <si>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</si>
  <si>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</si>
  <si>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</si>
  <si>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</si>
  <si>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</si>
  <si>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</si>
  <si>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</si>
  <si>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</si>
  <si>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</si>
  <si>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</si>
  <si>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</si>
  <si>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</si>
  <si>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</si>
  <si>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</si>
  <si>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</si>
  <si>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</si>
  <si>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</si>
  <si>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</si>
  <si>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</si>
  <si>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</si>
  <si>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</si>
  <si>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</si>
  <si>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</si>
  <si>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</si>
  <si>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</si>
  <si>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</si>
  <si>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</si>
  <si>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</si>
  <si>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</si>
  <si>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</si>
  <si>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</si>
  <si>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</si>
  <si>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</si>
  <si>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</si>
  <si>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</si>
  <si>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</si>
  <si>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</si>
  <si>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</si>
  <si>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</si>
  <si>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</si>
  <si>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</si>
  <si>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</si>
  <si>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</si>
  <si>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</si>
  <si>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</si>
  <si>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</si>
  <si>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</si>
  <si>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</si>
  <si>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</si>
  <si>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</si>
  <si>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</si>
  <si>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</si>
  <si>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</si>
  <si>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</si>
  <si>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</si>
  <si>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</si>
  <si>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</si>
  <si>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</si>
  <si>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</si>
  <si>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</si>
  <si>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</si>
  <si>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</si>
  <si>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</si>
  <si>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</si>
  <si>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</si>
  <si>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</si>
  <si>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</si>
  <si>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</si>
  <si>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</si>
  <si>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</si>
  <si>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</si>
  <si>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</si>
  <si>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</si>
  <si>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</si>
  <si>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</si>
  <si>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</si>
  <si>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</si>
  <si>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</si>
  <si>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</si>
  <si>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</si>
  <si>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</si>
  <si>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</si>
  <si>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</si>
  <si>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</si>
  <si>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</si>
  <si>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</si>
  <si>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</si>
  <si>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</si>
  <si>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</si>
  <si>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</si>
  <si>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</si>
  <si>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</si>
  <si>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</si>
  <si>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</si>
  <si>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</si>
  <si>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</si>
  <si>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</si>
  <si>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</si>
  <si>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</si>
  <si>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</si>
  <si>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</si>
  <si>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</si>
  <si>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</si>
  <si>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</si>
  <si>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</si>
  <si>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</si>
  <si>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</si>
  <si>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</si>
  <si>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</si>
  <si>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</si>
  <si>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</si>
  <si>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</si>
  <si>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</si>
  <si>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</si>
  <si>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</si>
  <si>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</si>
  <si>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</si>
  <si>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</si>
  <si>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</si>
  <si>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</si>
  <si>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</si>
  <si>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</si>
  <si>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</si>
  <si>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</si>
  <si>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</si>
  <si>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</si>
  <si>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</si>
  <si>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</si>
  <si>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</si>
  <si>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</si>
  <si>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</si>
  <si>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</si>
  <si>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</si>
  <si>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</si>
  <si>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</si>
  <si>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</si>
  <si>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</si>
  <si>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</si>
  <si>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</si>
  <si>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</si>
  <si>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</si>
  <si>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</si>
  <si>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</si>
  <si>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</si>
  <si>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</si>
  <si>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</si>
  <si>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</si>
  <si>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</si>
  <si>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</si>
  <si>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</si>
  <si>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</si>
  <si>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</si>
  <si>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</si>
  <si>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</si>
  <si>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</si>
  <si>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</si>
  <si>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</si>
  <si>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</si>
  <si>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</si>
  <si>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</si>
  <si>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</si>
  <si>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</si>
  <si>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</si>
  <si>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</si>
  <si>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</si>
  <si>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</si>
  <si>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</si>
  <si>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</si>
  <si>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</si>
  <si>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</si>
  <si>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</si>
  <si>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</si>
  <si>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</si>
  <si>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</si>
  <si>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</si>
  <si>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</si>
  <si>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</si>
  <si>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</si>
  <si>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</si>
  <si>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</si>
  <si>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</si>
  <si>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</si>
  <si>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</si>
  <si>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</si>
  <si>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</si>
  <si>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</si>
  <si>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</si>
  <si>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</si>
  <si>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</si>
  <si>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</si>
  <si>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</si>
  <si>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</si>
  <si>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</si>
  <si>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</si>
  <si>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</si>
  <si>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</si>
  <si>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</si>
  <si>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</si>
  <si>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</si>
  <si>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</si>
  <si>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</si>
  <si>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</si>
  <si>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</si>
  <si>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</si>
  <si>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</si>
  <si>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</si>
  <si>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</si>
  <si>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</si>
  <si>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</si>
  <si>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</si>
  <si>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</si>
  <si>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</si>
  <si>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</si>
  <si>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</si>
  <si>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</si>
  <si>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</si>
  <si>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</si>
  <si>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</si>
  <si>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</si>
  <si>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</si>
  <si>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</si>
  <si>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</si>
  <si>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</si>
  <si>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</si>
  <si>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</si>
  <si>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</si>
  <si>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</si>
  <si>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</si>
  <si>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</si>
  <si>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</si>
  <si>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</si>
  <si>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</si>
  <si>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</si>
  <si>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</si>
  <si>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</si>
  <si>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</si>
  <si>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</si>
  <si>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</si>
  <si>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</si>
  <si>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</si>
  <si>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</si>
  <si>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</si>
  <si>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</si>
  <si>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</si>
  <si>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</si>
  <si>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</si>
  <si>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</si>
  <si>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</si>
  <si>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</si>
  <si>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</si>
  <si>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</si>
  <si>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</si>
  <si>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</si>
  <si>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</si>
  <si>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</si>
  <si>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</si>
  <si>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</si>
  <si>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</si>
  <si>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</si>
  <si>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</si>
  <si>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</si>
  <si>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</si>
  <si>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</si>
  <si>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</si>
  <si>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</si>
  <si>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</si>
  <si>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</si>
  <si>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</si>
  <si>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</si>
  <si>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</si>
  <si>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</si>
  <si>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</si>
  <si>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</si>
  <si>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</si>
  <si>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</si>
  <si>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</si>
  <si>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</si>
  <si>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</si>
  <si>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</si>
  <si>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</si>
  <si>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</si>
  <si>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</si>
  <si>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</si>
  <si>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</si>
  <si>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</si>
  <si>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</si>
  <si>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</si>
  <si>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</si>
  <si>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</si>
  <si>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</si>
  <si>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</si>
  <si>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</si>
  <si>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</si>
  <si>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</si>
  <si>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</si>
  <si>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</si>
  <si>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</si>
  <si>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</si>
  <si>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</si>
  <si>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</si>
  <si>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</si>
  <si>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</si>
  <si>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</si>
  <si>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</si>
  <si>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</si>
  <si>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</si>
  <si>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</si>
  <si>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</si>
  <si>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</si>
  <si>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</si>
  <si>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</si>
  <si>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</si>
  <si>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</si>
  <si>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</si>
  <si>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</si>
  <si>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</si>
  <si>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</si>
  <si>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</si>
  <si>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</si>
  <si>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</si>
  <si>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</si>
  <si>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</si>
  <si>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</si>
  <si>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</si>
  <si>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</si>
  <si>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</si>
  <si>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</si>
  <si>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</si>
  <si>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</si>
  <si>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</si>
  <si>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</si>
  <si>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</si>
  <si>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</si>
  <si>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</si>
  <si>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</si>
  <si>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</si>
  <si>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</si>
  <si>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</si>
  <si>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</si>
  <si>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</si>
  <si>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</si>
  <si>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</si>
  <si>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</si>
  <si>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</si>
  <si>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</si>
  <si>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</si>
  <si>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</si>
  <si>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</si>
  <si>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</si>
  <si>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</si>
  <si>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</si>
  <si>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</si>
  <si>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</si>
  <si>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</si>
  <si>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</si>
  <si>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</si>
  <si>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</si>
  <si>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</si>
  <si>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</si>
  <si>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</si>
  <si>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</si>
  <si>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</si>
  <si>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</si>
  <si>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</si>
  <si>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</si>
  <si>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</si>
  <si>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</si>
  <si>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</si>
  <si>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</si>
  <si>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</si>
  <si>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</si>
  <si>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</si>
  <si>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</si>
  <si>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</si>
  <si>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</si>
  <si>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</si>
  <si>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</si>
  <si>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</si>
  <si>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</si>
  <si>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</si>
  <si>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</si>
  <si>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</si>
  <si>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</si>
  <si>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</si>
  <si>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</si>
  <si>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</si>
  <si>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</si>
  <si>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</si>
  <si>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</si>
  <si>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</si>
  <si>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</si>
  <si>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</si>
  <si>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</si>
  <si>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</si>
  <si>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</si>
  <si>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</si>
  <si>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</si>
  <si>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</si>
  <si>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</si>
  <si>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</si>
  <si>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</si>
  <si>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</si>
  <si>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</si>
  <si>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</si>
  <si>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</si>
  <si>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</si>
  <si>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</si>
  <si>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</si>
  <si>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</si>
  <si>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</si>
  <si>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</si>
  <si>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</si>
  <si>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</si>
  <si>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</si>
  <si>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</si>
  <si>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</si>
  <si>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</si>
  <si>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</si>
  <si>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</si>
  <si>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</si>
  <si>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</si>
  <si>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</si>
  <si>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</si>
  <si>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</si>
  <si>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</si>
  <si>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</si>
  <si>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</si>
  <si>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</si>
  <si>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</si>
  <si>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</si>
  <si>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</si>
  <si>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</si>
  <si>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</si>
  <si>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</si>
  <si>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</si>
  <si>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</si>
  <si>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</si>
  <si>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</si>
  <si>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</si>
  <si>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</si>
  <si>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</si>
  <si>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</si>
  <si>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</si>
  <si>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</si>
  <si>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</si>
  <si>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</si>
  <si>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</si>
  <si>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</si>
  <si>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</si>
  <si>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</si>
  <si>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</si>
  <si>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</si>
  <si>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</si>
  <si>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</si>
  <si>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</si>
  <si>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</si>
  <si>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</si>
  <si>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</si>
  <si>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</si>
  <si>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</si>
  <si>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</si>
  <si>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</si>
  <si>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</si>
  <si>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</si>
  <si>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</si>
  <si>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</si>
  <si>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</si>
  <si>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</si>
  <si>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</si>
  <si>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</si>
  <si>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</si>
  <si>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</si>
  <si>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</si>
  <si>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</si>
  <si>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</si>
  <si>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</si>
  <si>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</si>
  <si>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</si>
  <si>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</si>
  <si>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</si>
  <si>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</si>
  <si>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</si>
  <si>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</si>
  <si>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</si>
  <si>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</si>
  <si>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</si>
  <si>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</si>
  <si>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</si>
  <si>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</si>
  <si>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</si>
  <si>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</si>
  <si>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</si>
  <si>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</si>
  <si>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</si>
  <si>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</si>
  <si>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</si>
  <si>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</si>
  <si>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</si>
  <si>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</si>
  <si>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</si>
  <si>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</si>
  <si>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</si>
  <si>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</si>
  <si>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</si>
  <si>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</si>
  <si>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</si>
  <si>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</si>
  <si>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</si>
  <si>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</si>
  <si>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</si>
  <si>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</si>
  <si>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</si>
  <si>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</si>
  <si>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</si>
  <si>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</si>
  <si>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</si>
  <si>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</si>
  <si>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</si>
  <si>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</si>
  <si>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</si>
  <si>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</si>
  <si>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</si>
  <si>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</si>
  <si>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</si>
  <si>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</si>
  <si>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</si>
  <si>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</si>
  <si>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</si>
  <si>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</si>
  <si>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</si>
  <si>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</si>
  <si>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</si>
  <si>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</si>
  <si>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</si>
  <si>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</si>
  <si>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</si>
  <si>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</si>
  <si>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</si>
  <si>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</si>
  <si>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</si>
  <si>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</si>
  <si>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</si>
  <si>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</si>
  <si>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</si>
  <si>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</si>
  <si>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</si>
  <si>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</si>
  <si>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</si>
  <si>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</si>
  <si>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</si>
  <si>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</si>
  <si>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</si>
  <si>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</si>
  <si>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</si>
  <si>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</si>
  <si>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</si>
  <si>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</si>
  <si>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</si>
  <si>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</si>
  <si>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</si>
  <si>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</si>
  <si>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</si>
  <si>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</si>
  <si>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</si>
  <si>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</si>
  <si>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</si>
  <si>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</si>
  <si>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</si>
  <si>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</si>
  <si>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</si>
  <si>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</si>
  <si>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</si>
  <si>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</si>
  <si>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</si>
  <si>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</si>
  <si>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</si>
  <si>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</si>
  <si>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</si>
  <si>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</si>
  <si>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</si>
  <si>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</si>
  <si>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</si>
  <si>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</si>
  <si>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</si>
  <si>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</si>
  <si>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</si>
  <si>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</si>
  <si>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</si>
  <si>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</si>
  <si>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</si>
  <si>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</si>
  <si>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</si>
  <si>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</si>
  <si>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</si>
  <si>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</si>
  <si>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</si>
  <si>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</si>
  <si>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</si>
  <si>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</si>
  <si>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</si>
  <si>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</si>
  <si>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</si>
  <si>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</si>
  <si>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</si>
  <si>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</si>
  <si>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</si>
  <si>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</si>
  <si>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</si>
  <si>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</si>
  <si>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</si>
  <si>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</si>
  <si>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</si>
  <si>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</si>
  <si>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</si>
  <si>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</si>
  <si>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</si>
  <si>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</si>
  <si>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</si>
  <si>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</si>
  <si>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</si>
  <si>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</si>
  <si>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</si>
  <si>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</si>
  <si>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</si>
  <si>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</si>
  <si>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</si>
  <si>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</si>
  <si>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</si>
  <si>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</si>
  <si>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</si>
  <si>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</si>
  <si>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</si>
  <si>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</si>
  <si>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</si>
  <si>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</si>
  <si>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</si>
  <si>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</si>
  <si>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</si>
  <si>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</si>
  <si>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</si>
  <si>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</si>
  <si>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</si>
  <si>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</si>
  <si>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</si>
  <si>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</si>
  <si>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</si>
  <si>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</si>
  <si>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</si>
  <si>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</si>
  <si>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</si>
  <si>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</si>
  <si>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</si>
  <si>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</si>
  <si>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</si>
  <si>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</si>
  <si>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</si>
  <si>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</si>
  <si>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</si>
  <si>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</si>
  <si>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</si>
  <si>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</si>
  <si>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</si>
  <si>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</si>
  <si>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</si>
  <si>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</si>
  <si>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</si>
  <si>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</si>
  <si>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</si>
  <si>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</si>
  <si>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</si>
  <si>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</si>
  <si>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</si>
  <si>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</si>
  <si>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</si>
  <si>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</si>
  <si>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</si>
  <si>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</si>
  <si>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</si>
  <si>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</si>
  <si>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</si>
  <si>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</si>
  <si>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</si>
  <si>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</si>
  <si>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</si>
  <si>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</si>
  <si>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</si>
  <si>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</si>
  <si>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</si>
  <si>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</si>
  <si>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</si>
  <si>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</si>
  <si>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</si>
  <si>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</si>
  <si>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</si>
  <si>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</si>
  <si>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</si>
  <si>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</si>
  <si>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</si>
  <si>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</si>
  <si>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</si>
  <si>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</si>
  <si>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</si>
  <si>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</si>
  <si>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</si>
  <si>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</si>
  <si>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</si>
  <si>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</si>
  <si>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</si>
  <si>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</si>
  <si>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</si>
  <si>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</si>
  <si>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</si>
  <si>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</si>
  <si>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</si>
  <si>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</si>
  <si>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</si>
  <si>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</si>
  <si>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</si>
  <si>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</si>
  <si>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</si>
  <si>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</si>
  <si>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</si>
  <si>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</si>
  <si>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</si>
  <si>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</si>
  <si>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</si>
  <si>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</si>
  <si>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</si>
  <si>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</si>
  <si>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</si>
  <si>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</si>
  <si>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</si>
  <si>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</si>
  <si>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</si>
  <si>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</si>
  <si>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</si>
  <si>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</si>
  <si>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</si>
  <si>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</si>
  <si>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</si>
  <si>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</si>
  <si>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</si>
  <si>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</si>
  <si>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</si>
  <si>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</si>
  <si>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</si>
  <si>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</si>
  <si>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</si>
  <si>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</si>
  <si>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</si>
  <si>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</si>
  <si>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</si>
  <si>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</si>
  <si>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</si>
  <si>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</si>
  <si>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</si>
  <si>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</si>
  <si>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</si>
  <si>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</si>
  <si>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</si>
  <si>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</si>
  <si>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</si>
  <si>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</si>
  <si>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</si>
  <si>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</si>
  <si>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</si>
  <si>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</si>
  <si>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</si>
  <si>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</si>
  <si>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</si>
  <si>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</si>
  <si>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</si>
  <si>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</si>
  <si>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</si>
  <si>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</si>
  <si>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</si>
  <si>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</si>
  <si>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</si>
  <si>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</si>
  <si>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</si>
  <si>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</si>
  <si>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</si>
  <si>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</si>
  <si>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</si>
  <si>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</si>
  <si>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</si>
  <si>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</si>
  <si>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</si>
  <si>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</si>
  <si>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</si>
  <si>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</si>
  <si>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</si>
  <si>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</si>
  <si>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</si>
  <si>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</si>
  <si>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</si>
  <si>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</si>
  <si>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</si>
  <si>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</si>
  <si>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</si>
  <si>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</si>
  <si>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</si>
  <si>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</si>
  <si>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</si>
  <si>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</si>
  <si>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</si>
  <si>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</si>
  <si>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</si>
  <si>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</si>
  <si>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</si>
  <si>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</si>
  <si>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</si>
  <si>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</si>
  <si>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</si>
  <si>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</si>
  <si>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</si>
  <si>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</si>
  <si>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</si>
  <si>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</si>
  <si>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</si>
  <si>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</si>
  <si>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</si>
  <si>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</si>
  <si>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</si>
  <si>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</si>
  <si>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</si>
  <si>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</si>
  <si>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</si>
  <si>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</si>
  <si>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</si>
  <si>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</si>
  <si>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</si>
  <si>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</si>
  <si>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</si>
  <si>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</si>
  <si>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</si>
  <si>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</si>
  <si>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</si>
  <si>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</si>
  <si>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</si>
  <si>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</si>
  <si>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</si>
  <si>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</si>
  <si>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</si>
  <si>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</si>
  <si>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</si>
  <si>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</si>
  <si>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</si>
  <si>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</si>
  <si>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</si>
  <si>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</si>
  <si>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</si>
  <si>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</si>
  <si>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</si>
  <si>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</si>
  <si>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</si>
  <si>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</si>
  <si>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</si>
  <si>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</si>
  <si>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</si>
  <si>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</si>
  <si>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</si>
  <si>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</si>
  <si>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</si>
  <si>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</si>
  <si>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</si>
  <si>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</si>
  <si>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</si>
  <si>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</si>
  <si>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</si>
  <si>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</si>
  <si>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</si>
  <si>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</si>
  <si>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</si>
  <si>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</si>
  <si>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</si>
  <si>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</si>
  <si>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</si>
  <si>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</si>
  <si>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</si>
  <si>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</si>
  <si>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</si>
  <si>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</si>
  <si>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</si>
  <si>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</si>
  <si>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</si>
  <si>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</si>
  <si>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</si>
  <si>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</si>
  <si>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</si>
  <si>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</si>
  <si>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</si>
  <si>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</si>
  <si>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</si>
  <si>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</si>
  <si>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</si>
  <si>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</si>
  <si>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</si>
  <si>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</si>
  <si>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</si>
  <si>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</si>
  <si>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</si>
  <si>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</si>
  <si>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</si>
  <si>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</si>
  <si>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</si>
  <si>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</si>
  <si>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</si>
  <si>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</si>
  <si>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</si>
  <si>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</si>
  <si>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</si>
  <si>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</si>
  <si>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</si>
  <si>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</si>
  <si>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</si>
  <si>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</si>
  <si>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</si>
  <si>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</si>
  <si>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</si>
  <si>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</si>
  <si>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</si>
  <si>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</si>
  <si>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</si>
  <si>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</si>
  <si>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</si>
  <si>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</si>
  <si>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</si>
  <si>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</si>
  <si>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</si>
  <si>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</si>
  <si>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</si>
  <si>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</si>
  <si>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</si>
  <si>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</si>
  <si>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</si>
  <si>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</si>
  <si>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</si>
  <si>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</si>
  <si>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</si>
  <si>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</si>
  <si>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</si>
  <si>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</si>
  <si>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</si>
  <si>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</si>
  <si>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</si>
  <si>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</si>
  <si>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</si>
  <si>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</si>
  <si>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</si>
  <si>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</si>
  <si>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</si>
  <si>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</si>
  <si>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</si>
  <si>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</si>
  <si>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</si>
  <si>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</si>
  <si>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</si>
  <si>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</si>
  <si>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</si>
  <si>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</si>
  <si>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</si>
  <si>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</si>
  <si>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</si>
  <si>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</si>
  <si>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</si>
  <si>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</si>
  <si>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</si>
  <si>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</si>
  <si>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</si>
  <si>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</si>
  <si>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</si>
  <si>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</si>
  <si>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</si>
  <si>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</si>
  <si>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</si>
  <si>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</si>
  <si>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</si>
  <si>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</si>
  <si>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</si>
  <si>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</si>
  <si>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</si>
  <si>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</si>
  <si>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</si>
  <si>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</si>
  <si>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</si>
  <si>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</si>
  <si>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</si>
  <si>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</si>
  <si>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</si>
  <si>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</si>
  <si>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</si>
  <si>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</si>
  <si>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</si>
  <si>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</si>
  <si>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</si>
  <si>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</si>
  <si>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</si>
  <si>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</si>
  <si>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</si>
  <si>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</si>
  <si>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</si>
  <si>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</si>
  <si>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</si>
  <si>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</si>
  <si>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</si>
  <si>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</si>
  <si>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</si>
  <si>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</si>
  <si>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</si>
  <si>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</si>
  <si>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</si>
  <si>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</si>
  <si>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</si>
  <si>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</si>
  <si>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</si>
  <si>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</si>
  <si>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</si>
  <si>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</si>
  <si>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</si>
  <si>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</si>
  <si>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</si>
  <si>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</si>
  <si>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</si>
  <si>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</si>
  <si>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</si>
  <si>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</si>
  <si>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</si>
  <si>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</si>
  <si>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</si>
  <si>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</si>
  <si>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</si>
  <si>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</si>
  <si>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</si>
  <si>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</si>
  <si>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</si>
  <si>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</si>
  <si>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</si>
  <si>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</si>
  <si>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</si>
  <si>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</si>
  <si>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</si>
  <si>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</si>
  <si>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</si>
  <si>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</si>
  <si>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</si>
  <si>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</si>
  <si>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</si>
  <si>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</si>
  <si>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</si>
  <si>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</si>
  <si>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</si>
  <si>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</si>
  <si>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</si>
  <si>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</si>
  <si>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</si>
  <si>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</si>
  <si>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</si>
  <si>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</si>
  <si>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</si>
  <si>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</si>
  <si>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</si>
  <si>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</si>
  <si>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</si>
  <si>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</si>
  <si>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</si>
  <si>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</si>
  <si>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</si>
  <si>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</si>
  <si>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</si>
  <si>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</si>
  <si>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</si>
  <si>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</si>
  <si>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</si>
  <si>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</si>
  <si>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</si>
  <si>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</si>
  <si>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</si>
  <si>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</si>
  <si>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</si>
  <si>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</si>
  <si>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</si>
  <si>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</si>
  <si>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</si>
  <si>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</si>
  <si>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</si>
  <si>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</si>
  <si>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</si>
  <si>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</si>
  <si>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</si>
  <si>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</si>
  <si>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</si>
  <si>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</si>
  <si>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</si>
  <si>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</si>
  <si>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</si>
  <si>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</si>
  <si>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</si>
  <si>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</si>
  <si>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</si>
  <si>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</si>
  <si>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</si>
  <si>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</si>
  <si>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</si>
  <si>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</si>
  <si>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</si>
  <si>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</si>
  <si>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</si>
  <si>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</si>
  <si>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</si>
  <si>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</si>
  <si>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</si>
  <si>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</si>
  <si>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</si>
  <si>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</si>
  <si>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</si>
  <si>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</si>
  <si>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</si>
  <si>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</si>
  <si>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</si>
  <si>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</si>
  <si>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</si>
  <si>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</si>
  <si>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</si>
  <si>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</si>
  <si>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</si>
  <si>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</si>
  <si>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</si>
  <si>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</si>
  <si>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</si>
  <si>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</si>
  <si>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</si>
  <si>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</si>
  <si>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</si>
  <si>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</si>
  <si>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</si>
  <si>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</si>
  <si>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</si>
  <si>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</si>
  <si>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</si>
  <si>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</si>
  <si>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</si>
  <si>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</si>
  <si>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</si>
  <si>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</si>
  <si>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</si>
  <si>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</si>
  <si>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</si>
  <si>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</si>
  <si>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</si>
  <si>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</si>
  <si>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</si>
  <si>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</si>
  <si>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</si>
  <si>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</si>
  <si>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</si>
  <si>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</si>
  <si>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</si>
  <si>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</si>
  <si>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</si>
  <si>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</si>
  <si>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</si>
  <si>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</si>
  <si>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</si>
  <si>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</si>
  <si>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</si>
  <si>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</si>
  <si>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</si>
  <si>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</si>
  <si>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</si>
  <si>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</si>
  <si>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</si>
  <si>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</si>
  <si>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</si>
  <si>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</si>
  <si>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</si>
  <si>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</si>
  <si>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</si>
  <si>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</si>
  <si>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</si>
  <si>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</si>
  <si>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</si>
  <si>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</si>
  <si>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</si>
  <si>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</si>
  <si>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</si>
  <si>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</si>
  <si>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</si>
  <si>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</si>
  <si>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</si>
  <si>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</si>
  <si>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</si>
  <si>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</si>
  <si>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</si>
  <si>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</si>
  <si>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</si>
  <si>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</si>
  <si>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</si>
  <si>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</si>
  <si>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</si>
  <si>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</si>
  <si>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</si>
  <si>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</si>
  <si>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</si>
  <si>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</si>
  <si>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</si>
  <si>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</si>
  <si>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</si>
  <si>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</si>
  <si>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</si>
  <si>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</si>
  <si>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</si>
  <si>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</si>
  <si>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</si>
  <si>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</si>
  <si>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</si>
  <si>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</si>
  <si>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</si>
  <si>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</si>
  <si>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</si>
  <si>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</si>
  <si>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</si>
  <si>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</si>
  <si>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</si>
  <si>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</si>
  <si>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</si>
  <si>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</si>
  <si>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</si>
  <si>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</si>
  <si>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</si>
  <si>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</si>
  <si>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</si>
  <si>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</si>
  <si>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</si>
  <si>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</si>
  <si>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</si>
  <si>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</si>
  <si>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</si>
  <si>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</si>
  <si>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</si>
  <si>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</si>
  <si>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</si>
  <si>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</si>
  <si>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</si>
  <si>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</si>
  <si>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</si>
  <si>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</si>
  <si>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</si>
  <si>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</si>
  <si>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</si>
  <si>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</si>
  <si>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</si>
  <si>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</si>
  <si>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</si>
  <si>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</si>
  <si>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</si>
  <si>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</si>
  <si>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</si>
  <si>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</si>
  <si>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</si>
  <si>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</si>
  <si>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</si>
  <si>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</si>
  <si>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</si>
  <si>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</si>
  <si>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</si>
  <si>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</si>
  <si>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</si>
  <si>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</si>
  <si>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</si>
  <si>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</si>
  <si>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</si>
  <si>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</si>
  <si>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</si>
  <si>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</si>
  <si>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</si>
  <si>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</si>
  <si>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</si>
  <si>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</si>
  <si>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</si>
  <si>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</si>
  <si>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</si>
  <si>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</si>
  <si>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</si>
  <si>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</si>
  <si>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</si>
  <si>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</si>
  <si>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</si>
  <si>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</si>
  <si>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</si>
  <si>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</si>
  <si>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</si>
  <si>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</si>
  <si>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</si>
  <si>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</si>
  <si>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</si>
  <si>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</si>
  <si>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</si>
  <si>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</si>
  <si>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</si>
  <si>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</si>
  <si>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</si>
  <si>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</si>
  <si>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</si>
  <si>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</si>
  <si>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</si>
  <si>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</si>
  <si>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</si>
  <si>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</si>
  <si>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</si>
  <si>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</si>
  <si>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</si>
  <si>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</si>
  <si>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</si>
  <si>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</si>
  <si>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</si>
  <si>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</si>
  <si>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</si>
  <si>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</si>
  <si>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</si>
  <si>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</si>
  <si>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</si>
  <si>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</si>
  <si>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</si>
  <si>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</si>
  <si>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</si>
  <si>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</si>
  <si>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</si>
  <si>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</si>
  <si>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</si>
  <si>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</si>
  <si>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</si>
  <si>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</si>
  <si>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</si>
  <si>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</si>
  <si>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</si>
  <si>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</si>
  <si>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</si>
  <si>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</si>
  <si>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</si>
  <si>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</si>
  <si>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</si>
  <si>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</si>
  <si>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</si>
  <si>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</si>
  <si>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</si>
  <si>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</si>
  <si>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</si>
  <si>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</si>
  <si>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</si>
  <si>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</si>
  <si>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</si>
  <si>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</si>
  <si>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</si>
  <si>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</si>
  <si>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</si>
  <si>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</si>
  <si>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</si>
  <si>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</si>
  <si>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</si>
  <si>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</si>
  <si>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</si>
  <si>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</si>
  <si>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</si>
  <si>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</si>
  <si>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</si>
  <si>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</si>
  <si>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</si>
  <si>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</si>
  <si>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</si>
  <si>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</si>
  <si>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</si>
  <si>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</si>
  <si>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</si>
  <si>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</si>
  <si>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</si>
  <si>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</si>
  <si>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</si>
  <si>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</si>
  <si>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</si>
  <si>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</si>
  <si>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</si>
  <si>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</si>
  <si>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</si>
  <si>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</si>
  <si>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</si>
  <si>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</si>
  <si>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</si>
  <si>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</si>
  <si>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</si>
  <si>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</si>
  <si>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</si>
  <si>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</si>
  <si>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</si>
  <si>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</si>
  <si>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</si>
  <si>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</si>
  <si>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</si>
  <si>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</si>
  <si>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</si>
  <si>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</si>
  <si>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</si>
  <si>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</si>
  <si>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</si>
  <si>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</si>
  <si>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</si>
  <si>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</si>
  <si>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</si>
  <si>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</si>
  <si>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</si>
  <si>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</si>
  <si>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</si>
  <si>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</si>
  <si>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</si>
  <si>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</si>
  <si>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</si>
  <si>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</si>
  <si>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</si>
  <si>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</si>
  <si>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</si>
  <si>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</si>
  <si>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</si>
  <si>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</si>
  <si>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</si>
  <si>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</si>
  <si>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</si>
  <si>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</si>
  <si>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</si>
  <si>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</si>
  <si>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</si>
  <si>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</si>
  <si>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</si>
  <si>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</si>
  <si>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</si>
  <si>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</si>
  <si>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</si>
  <si>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</si>
  <si>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</si>
  <si>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</si>
  <si>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</si>
  <si>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</si>
  <si>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</si>
  <si>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</si>
  <si>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</si>
  <si>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</si>
  <si>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</si>
  <si>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</si>
  <si>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</si>
  <si>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</si>
  <si>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</si>
  <si>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</si>
  <si>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</si>
  <si>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</si>
  <si>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</si>
  <si>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</si>
  <si>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</si>
  <si>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</si>
  <si>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</si>
  <si>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</si>
  <si>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</si>
  <si>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</si>
  <si>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</si>
  <si>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</si>
  <si>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</si>
  <si>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</si>
  <si>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</si>
  <si>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</si>
  <si>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</si>
  <si>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</si>
  <si>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</si>
  <si>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</si>
  <si>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</si>
  <si>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</si>
  <si>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</si>
  <si>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</si>
  <si>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</si>
  <si>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</si>
  <si>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</si>
  <si>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</si>
  <si>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</si>
  <si>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</si>
  <si>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</si>
  <si>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</si>
  <si>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</si>
  <si>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</si>
  <si>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</si>
  <si>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</si>
  <si>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</si>
  <si>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</si>
  <si>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</si>
  <si>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</si>
  <si>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</si>
  <si>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</si>
  <si>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</si>
  <si>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</si>
  <si>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</si>
  <si>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</si>
  <si>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</si>
  <si>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</si>
  <si>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</si>
  <si>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</si>
  <si>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</si>
  <si>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</si>
  <si>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</si>
  <si>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</si>
  <si>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</si>
  <si>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</si>
  <si>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</si>
  <si>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</si>
  <si>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</si>
  <si>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</si>
  <si>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</si>
  <si>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</si>
  <si>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</si>
  <si>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</si>
  <si>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</si>
  <si>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</si>
  <si>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</si>
  <si>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</si>
  <si>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</si>
  <si>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</si>
  <si>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</si>
  <si>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</si>
  <si>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</si>
  <si>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</si>
  <si>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</si>
  <si>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</si>
  <si>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</si>
  <si>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</si>
  <si>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</si>
  <si>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</si>
  <si>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</si>
  <si>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</si>
  <si>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</si>
  <si>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</si>
  <si>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</si>
  <si>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</si>
  <si>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</si>
  <si>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</si>
  <si>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</si>
  <si>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</si>
  <si>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</si>
  <si>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</si>
  <si>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</si>
  <si>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</si>
  <si>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</si>
  <si>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</si>
  <si>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</si>
  <si>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</si>
  <si>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</si>
  <si>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</si>
  <si>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</si>
  <si>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</si>
  <si>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</si>
  <si>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</si>
  <si>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</si>
  <si>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</si>
  <si>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</si>
  <si>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</si>
  <si>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</si>
  <si>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</si>
  <si>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</si>
  <si>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</si>
  <si>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</si>
  <si>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</si>
  <si>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</si>
  <si>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</si>
  <si>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</si>
  <si>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</si>
  <si>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</si>
  <si>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</si>
  <si>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</si>
  <si>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</si>
  <si>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</si>
  <si>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</si>
  <si>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</si>
  <si>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</si>
  <si>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</si>
  <si>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</si>
  <si>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</si>
  <si>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</si>
  <si>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</si>
  <si>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</si>
  <si>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</si>
  <si>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</si>
  <si>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</si>
  <si>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</si>
  <si>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</si>
  <si>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</si>
  <si>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</si>
  <si>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</si>
  <si>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</si>
  <si>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</si>
  <si>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</si>
  <si>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</si>
  <si>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</si>
  <si>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</si>
  <si>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</si>
  <si>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</si>
  <si>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</si>
  <si>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</si>
  <si>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</si>
  <si>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</si>
  <si>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</si>
  <si>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</si>
  <si>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</si>
  <si>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</si>
  <si>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</si>
  <si>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</si>
  <si>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</si>
  <si>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</si>
  <si>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</si>
  <si>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</si>
  <si>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</si>
  <si>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</si>
  <si>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</si>
  <si>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</si>
  <si>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</si>
  <si>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</si>
  <si>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</si>
  <si>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</si>
  <si>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</si>
  <si>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</si>
  <si>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</si>
  <si>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</si>
  <si>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</si>
  <si>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</si>
  <si>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</si>
  <si>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</si>
  <si>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</si>
  <si>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</si>
  <si>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</si>
  <si>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</si>
  <si>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</si>
  <si>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</si>
  <si>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</si>
  <si>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</si>
  <si>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</si>
  <si>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</si>
  <si>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</si>
  <si>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</si>
  <si>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</si>
  <si>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</si>
  <si>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</si>
  <si>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</si>
  <si>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</si>
  <si>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</si>
  <si>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</si>
  <si>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</si>
  <si>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</si>
  <si>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</si>
  <si>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</si>
  <si>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</si>
  <si>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</si>
  <si>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</si>
  <si>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</si>
  <si>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</si>
  <si>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</si>
  <si>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</si>
  <si>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</si>
  <si>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</si>
  <si>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</si>
  <si>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</si>
  <si>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</si>
  <si>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</si>
  <si>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</si>
  <si>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</si>
  <si>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</si>
  <si>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</si>
  <si>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</si>
  <si>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</si>
  <si>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</si>
  <si>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</si>
  <si>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</si>
  <si>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</si>
  <si>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</si>
  <si>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</si>
  <si>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</si>
  <si>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</si>
  <si>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</si>
  <si>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</si>
  <si>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</si>
  <si>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</si>
  <si>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</si>
  <si>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</si>
  <si>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</si>
  <si>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</si>
  <si>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</si>
  <si>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</si>
  <si>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</si>
  <si>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</si>
  <si>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</si>
  <si>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</si>
  <si>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</si>
  <si>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</si>
  <si>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</si>
  <si>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</si>
  <si>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</si>
  <si>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</si>
  <si>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</si>
  <si>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</si>
  <si>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</si>
  <si>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</si>
  <si>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</si>
  <si>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</si>
  <si>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</si>
  <si>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</si>
  <si>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</si>
  <si>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</si>
  <si>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</si>
  <si>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</si>
  <si>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</si>
  <si>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</si>
  <si>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</si>
  <si>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</si>
  <si>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</si>
  <si>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</si>
  <si>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</si>
  <si>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</si>
  <si>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</si>
  <si>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</si>
  <si>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</si>
  <si>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</si>
  <si>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</si>
  <si>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</si>
  <si>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</si>
  <si>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</si>
  <si>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</si>
  <si>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</si>
  <si>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</si>
  <si>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</si>
  <si>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</si>
  <si>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</si>
  <si>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</si>
  <si>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</si>
  <si>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</si>
  <si>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</si>
  <si>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</si>
  <si>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</si>
  <si>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</si>
  <si>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</si>
  <si>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</si>
  <si>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</si>
  <si>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</si>
  <si>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</si>
  <si>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</si>
  <si>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</si>
  <si>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</si>
  <si>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</si>
  <si>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</si>
  <si>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</si>
  <si>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</si>
  <si>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</si>
  <si>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</si>
  <si>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</si>
  <si>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</si>
  <si>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</si>
  <si>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</si>
  <si>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</si>
  <si>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</si>
  <si>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</si>
  <si>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</si>
  <si>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</si>
  <si>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</si>
  <si>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</si>
  <si>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</si>
  <si>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</si>
  <si>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</si>
  <si>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</si>
  <si>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</si>
  <si>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</si>
  <si>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</si>
  <si>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</si>
  <si>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</si>
  <si>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</si>
  <si>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</si>
  <si>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</si>
  <si>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</si>
  <si>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</si>
  <si>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</si>
  <si>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</si>
  <si>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</si>
  <si>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</si>
  <si>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</si>
  <si>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</si>
  <si>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</si>
  <si>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</si>
  <si>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</si>
  <si>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</si>
  <si>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</si>
  <si>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</si>
  <si>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</si>
  <si>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</si>
  <si>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</si>
  <si>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</si>
  <si>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</si>
  <si>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</si>
  <si>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</si>
  <si>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</si>
  <si>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</si>
  <si>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</si>
  <si>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</si>
  <si>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</si>
  <si>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</si>
  <si>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</si>
  <si>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</si>
  <si>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</si>
  <si>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</si>
  <si>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</si>
  <si>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</si>
  <si>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</si>
  <si>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</si>
  <si>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</si>
  <si>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</si>
  <si>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</si>
  <si>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</si>
  <si>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</si>
  <si>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</si>
  <si>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</si>
  <si>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</si>
  <si>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</si>
  <si>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</si>
  <si>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</si>
  <si>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</si>
  <si>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</si>
  <si>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</si>
  <si>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</si>
  <si>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</si>
  <si>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</si>
  <si>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</si>
  <si>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</si>
  <si>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</si>
  <si>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</si>
  <si>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</si>
  <si>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</si>
  <si>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</si>
  <si>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</si>
  <si>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</si>
  <si>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</si>
  <si>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</si>
  <si>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</si>
  <si>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</si>
  <si>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</si>
  <si>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</si>
  <si>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</si>
  <si>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</si>
  <si>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</si>
  <si>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</si>
  <si>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</si>
  <si>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</si>
  <si>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</si>
  <si>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</si>
  <si>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</si>
  <si>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</si>
  <si>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</si>
  <si>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</si>
  <si>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</si>
  <si>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</si>
  <si>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</si>
  <si>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</si>
  <si>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</si>
  <si>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</si>
  <si>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</si>
  <si>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</si>
  <si>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</si>
  <si>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</si>
  <si>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</si>
  <si>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</si>
  <si>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</si>
  <si>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</si>
  <si>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</si>
  <si>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</si>
  <si>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</si>
  <si>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</si>
  <si>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</si>
  <si>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</si>
  <si>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</si>
  <si>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</si>
  <si>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</si>
  <si>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</si>
  <si>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</si>
  <si>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</si>
  <si>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</si>
  <si>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</si>
  <si>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</si>
  <si>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</si>
  <si>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</si>
  <si>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</si>
  <si>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</si>
  <si>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</si>
  <si>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</si>
  <si>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</si>
  <si>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</si>
  <si>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</si>
  <si>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</si>
  <si>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</si>
  <si>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</si>
  <si>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</si>
  <si>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</si>
  <si>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</si>
  <si>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</si>
  <si>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</si>
  <si>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</si>
  <si>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</si>
  <si>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</si>
  <si>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</si>
  <si>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</si>
  <si>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</si>
  <si>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</si>
  <si>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</si>
  <si>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</si>
  <si>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</si>
  <si>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</si>
  <si>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</si>
  <si>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</si>
  <si>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</si>
  <si>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</si>
  <si>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</si>
  <si>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</si>
  <si>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</si>
  <si>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</si>
  <si>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</si>
  <si>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</si>
  <si>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</si>
  <si>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</si>
  <si>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</si>
  <si>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</si>
  <si>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</si>
  <si>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</si>
  <si>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</si>
  <si>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</si>
  <si>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</si>
  <si>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</si>
  <si>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</si>
  <si>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</si>
  <si>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</si>
  <si>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</si>
  <si>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</si>
  <si>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</si>
  <si>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</si>
  <si>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</si>
  <si>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</si>
  <si>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</si>
  <si>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</si>
  <si>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</si>
  <si>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</si>
  <si>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</si>
  <si>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</si>
  <si>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</si>
  <si>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</si>
  <si>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</si>
  <si>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</si>
  <si>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</si>
  <si>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</si>
  <si>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</si>
  <si>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</si>
  <si>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</si>
  <si>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</si>
  <si>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</si>
  <si>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</si>
  <si>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</si>
  <si>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</si>
  <si>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</si>
  <si>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</si>
  <si>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</si>
  <si>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</si>
  <si>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</si>
  <si>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</si>
  <si>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</si>
  <si>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</si>
  <si>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</si>
  <si>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</si>
  <si>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</si>
  <si>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</si>
  <si>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</si>
  <si>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</si>
  <si>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</si>
  <si>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</si>
  <si>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</si>
  <si>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</si>
  <si>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</si>
  <si>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</si>
  <si>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</si>
  <si>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</si>
  <si>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</si>
  <si>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</si>
  <si>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</si>
  <si>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</si>
  <si>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</si>
  <si>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</si>
  <si>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</si>
  <si>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</si>
  <si>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</si>
  <si>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</si>
  <si>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</si>
  <si>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</si>
  <si>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</si>
  <si>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</si>
  <si>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</si>
  <si>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</si>
  <si>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</si>
  <si>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</si>
  <si>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</si>
  <si>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</si>
  <si>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</si>
  <si>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</si>
  <si>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</si>
  <si>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</si>
  <si>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</si>
  <si>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</si>
  <si>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</si>
  <si>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</si>
  <si>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</si>
  <si>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</si>
  <si>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</si>
  <si>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</si>
  <si>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</si>
  <si>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</si>
  <si>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</si>
  <si>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</si>
  <si>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</si>
  <si>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</si>
  <si>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</si>
  <si>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</si>
  <si>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</si>
  <si>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</si>
  <si>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</si>
  <si>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</si>
  <si>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</si>
  <si>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</si>
  <si>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</si>
  <si>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</si>
  <si>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</si>
  <si>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</si>
  <si>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</si>
  <si>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</si>
  <si>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</si>
  <si>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</si>
  <si>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</si>
  <si>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</si>
  <si>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</si>
  <si>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</si>
  <si>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</si>
  <si>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</si>
  <si>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</si>
  <si>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</si>
  <si>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</si>
  <si>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</si>
  <si>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</si>
  <si>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</si>
  <si>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</si>
  <si>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</si>
  <si>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</si>
  <si>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</si>
  <si>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</si>
  <si>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</si>
  <si>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</si>
  <si>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</si>
  <si>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</si>
  <si>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</si>
  <si>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</si>
  <si>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</si>
  <si>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</si>
  <si>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</si>
  <si>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</si>
  <si>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</si>
  <si>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</si>
  <si>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</si>
  <si>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</si>
  <si>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</si>
  <si>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</si>
  <si>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</si>
  <si>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</si>
  <si>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</si>
  <si>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</si>
  <si>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</si>
  <si>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</si>
  <si>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</si>
  <si>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</si>
  <si>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</si>
  <si>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</si>
  <si>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</si>
  <si>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</si>
  <si>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</si>
  <si>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</si>
  <si>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</si>
  <si>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</si>
  <si>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</si>
  <si>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</si>
  <si>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</si>
  <si>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</si>
  <si>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</si>
  <si>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</si>
  <si>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</si>
  <si>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</si>
  <si>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</si>
  <si>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</si>
  <si>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</si>
  <si>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</si>
  <si>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</si>
  <si>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</si>
  <si>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</si>
  <si>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</si>
  <si>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</si>
  <si>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</si>
  <si>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</si>
  <si>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</si>
  <si>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</si>
  <si>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</si>
  <si>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</si>
  <si>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</si>
  <si>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</si>
  <si>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</si>
  <si>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</si>
  <si>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</si>
  <si>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</si>
  <si>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</si>
  <si>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</si>
  <si>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</si>
  <si>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</si>
  <si>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</si>
  <si>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</si>
  <si>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</si>
  <si>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</si>
  <si>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</si>
  <si>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</si>
  <si>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</si>
  <si>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</si>
  <si>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</si>
  <si>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</si>
  <si>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</si>
  <si>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</si>
  <si>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</si>
  <si>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</si>
  <si>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</si>
  <si>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</si>
  <si>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</si>
  <si>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</si>
  <si>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</si>
  <si>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</si>
  <si>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</si>
  <si>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</si>
  <si>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</si>
  <si>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</si>
  <si>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</si>
  <si>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</si>
  <si>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</si>
  <si>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</si>
  <si>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</si>
  <si>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</si>
  <si>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</si>
  <si>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</si>
  <si>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</si>
  <si>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</si>
  <si>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</si>
  <si>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</si>
  <si>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</si>
  <si>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</si>
  <si>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</si>
  <si>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</si>
  <si>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</si>
  <si>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</si>
  <si>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</si>
  <si>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</si>
  <si>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</si>
  <si>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</si>
  <si>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</si>
  <si>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</si>
  <si>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</si>
  <si>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</si>
  <si>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</si>
  <si>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</si>
  <si>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</si>
  <si>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</si>
  <si>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</si>
  <si>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</si>
  <si>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</si>
  <si>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</si>
  <si>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</si>
  <si>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</si>
  <si>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</si>
  <si>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</si>
  <si>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</si>
  <si>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</si>
  <si>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</si>
  <si>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</si>
  <si>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</si>
  <si>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</si>
  <si>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</si>
  <si>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</si>
  <si>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</si>
  <si>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</si>
  <si>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</si>
  <si>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</si>
  <si>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</si>
  <si>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</si>
  <si>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</si>
  <si>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</si>
  <si>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</si>
  <si>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</si>
  <si>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</si>
  <si>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</si>
  <si>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</si>
  <si>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</si>
  <si>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</si>
  <si>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</si>
  <si>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</si>
  <si>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</si>
  <si>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</si>
  <si>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</si>
  <si>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</si>
  <si>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</si>
  <si>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</si>
  <si>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</si>
  <si>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</si>
  <si>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</si>
  <si>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</si>
  <si>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</si>
  <si>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</si>
  <si>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</si>
  <si>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</si>
  <si>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</si>
  <si>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</si>
  <si>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</si>
  <si>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</si>
  <si>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</si>
  <si>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</si>
  <si>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</si>
  <si>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</si>
  <si>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</si>
  <si>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</si>
  <si>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</si>
  <si>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</si>
  <si>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</si>
  <si>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</si>
  <si>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</si>
  <si>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</si>
  <si>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</si>
  <si>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</si>
  <si>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</si>
  <si>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</si>
  <si>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</si>
  <si>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</si>
  <si>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</si>
  <si>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</si>
  <si>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</si>
  <si>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</si>
  <si>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</si>
  <si>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</si>
  <si>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</si>
  <si>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</si>
  <si>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</si>
  <si>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</si>
  <si>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</si>
  <si>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</si>
  <si>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</si>
  <si>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</si>
  <si>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</si>
  <si>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</si>
  <si>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</si>
  <si>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</si>
  <si>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</si>
  <si>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</si>
  <si>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</si>
  <si>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</si>
  <si>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</si>
  <si>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</si>
  <si>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</si>
  <si>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</si>
  <si>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</si>
  <si>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</si>
  <si>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</si>
  <si>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</si>
  <si>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</si>
  <si>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</si>
  <si>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</si>
  <si>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</si>
  <si>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</si>
  <si>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</si>
  <si>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</si>
  <si>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</si>
  <si>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</si>
  <si>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</si>
  <si>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</si>
  <si>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</si>
  <si>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</si>
  <si>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</si>
  <si>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</si>
  <si>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</si>
  <si>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</si>
  <si>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</si>
  <si>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</si>
  <si>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</si>
  <si>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</si>
  <si>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</si>
  <si>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</si>
  <si>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</si>
  <si>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</si>
  <si>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</si>
  <si>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</si>
  <si>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</si>
  <si>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</si>
  <si>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</si>
  <si>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</si>
  <si>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</si>
  <si>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</si>
  <si>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</si>
  <si>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</si>
  <si>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</si>
  <si>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</si>
  <si>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</si>
  <si>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</si>
  <si>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</si>
  <si>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</si>
  <si>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</si>
  <si>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</si>
  <si>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</si>
  <si>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</si>
  <si>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</si>
  <si>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</si>
  <si>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</si>
  <si>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</si>
  <si>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</si>
  <si>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</si>
  <si>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</si>
  <si>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</si>
  <si>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</si>
  <si>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</si>
  <si>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</si>
  <si>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</si>
  <si>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</si>
  <si>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</si>
  <si>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</si>
  <si>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</si>
  <si>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</si>
  <si>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</si>
  <si>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</si>
  <si>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</si>
  <si>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</si>
  <si>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</si>
  <si>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</si>
  <si>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</si>
  <si>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</si>
  <si>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</si>
  <si>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</si>
  <si>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</si>
  <si>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</si>
  <si>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</si>
  <si>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</si>
  <si>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</si>
  <si>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</si>
  <si>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</si>
  <si>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</si>
  <si>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</si>
  <si>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</si>
  <si>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</si>
  <si>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</si>
  <si>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</si>
  <si>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</si>
  <si>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</si>
  <si>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</si>
  <si>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</si>
  <si>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</si>
  <si>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</si>
  <si>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</si>
  <si>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</si>
  <si>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</si>
  <si>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</si>
  <si>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</si>
  <si>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</si>
  <si>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</si>
  <si>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</si>
  <si>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</si>
  <si>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</si>
  <si>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</si>
  <si>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</si>
  <si>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</si>
  <si>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</si>
  <si>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</si>
  <si>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</si>
  <si>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</si>
  <si>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</si>
  <si>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</si>
  <si>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</si>
  <si>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</si>
  <si>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</si>
  <si>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</si>
  <si>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</si>
  <si>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</si>
  <si>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</si>
  <si>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</si>
  <si>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</si>
  <si>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</si>
  <si>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</si>
  <si>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</si>
  <si>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</si>
  <si>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</si>
  <si>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</si>
  <si>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</si>
  <si>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</si>
  <si>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</si>
  <si>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</si>
  <si>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</si>
  <si>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</si>
  <si>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</si>
  <si>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</si>
  <si>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</si>
  <si>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</si>
  <si>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</si>
  <si>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</si>
  <si>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</si>
  <si>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</si>
  <si>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</si>
  <si>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</si>
  <si>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</si>
  <si>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</si>
  <si>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</si>
  <si>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</si>
  <si>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</si>
  <si>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</si>
  <si>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</si>
  <si>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</si>
  <si>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</si>
  <si>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</si>
  <si>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</si>
  <si>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</si>
  <si>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</si>
  <si>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</si>
  <si>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</si>
  <si>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</si>
  <si>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</si>
  <si>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</si>
  <si>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</si>
  <si>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</si>
  <si>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</si>
  <si>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</si>
  <si>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</si>
  <si>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</si>
  <si>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</si>
  <si>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</si>
  <si>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</si>
  <si>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</si>
  <si>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</si>
  <si>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</si>
  <si>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</si>
  <si>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</si>
  <si>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</si>
  <si>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</si>
  <si>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</si>
  <si>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</si>
  <si>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</si>
  <si>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</si>
  <si>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</si>
  <si>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</si>
  <si>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</si>
  <si>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</si>
  <si>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</si>
  <si>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</si>
  <si>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</si>
  <si>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</si>
  <si>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</si>
  <si>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</si>
  <si>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</si>
  <si>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</si>
  <si>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</si>
  <si>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</si>
  <si>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</si>
  <si>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</si>
  <si>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</si>
  <si>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</si>
  <si>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</si>
  <si>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</si>
  <si>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</si>
  <si>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</si>
  <si>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</si>
  <si>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</si>
  <si>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</si>
  <si>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</si>
  <si>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</si>
  <si>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</si>
  <si>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</si>
  <si>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</si>
  <si>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</si>
  <si>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</si>
  <si>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</si>
  <si>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</si>
  <si>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</si>
  <si>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</si>
  <si>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</si>
  <si>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</si>
  <si>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</si>
  <si>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</si>
  <si>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</si>
  <si>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</si>
  <si>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</si>
  <si>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</si>
  <si>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</si>
  <si>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</si>
  <si>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</si>
  <si>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</si>
  <si>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</si>
  <si>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</si>
  <si>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</si>
  <si>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</si>
  <si>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</si>
  <si>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</si>
  <si>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</si>
  <si>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</si>
  <si>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</si>
  <si>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</si>
  <si>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</si>
  <si>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</si>
  <si>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</si>
  <si>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</si>
  <si>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</si>
  <si>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</si>
  <si>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</si>
  <si>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</si>
  <si>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</si>
  <si>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</si>
  <si>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</si>
  <si>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</si>
  <si>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</si>
  <si>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</si>
  <si>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</si>
  <si>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</si>
  <si>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</si>
  <si>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</si>
  <si>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</si>
  <si>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</si>
  <si>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</si>
  <si>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</si>
  <si>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</si>
  <si>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</si>
  <si>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</si>
  <si>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</si>
  <si>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</si>
  <si>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</si>
  <si>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</si>
  <si>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</si>
  <si>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</si>
  <si>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</si>
  <si>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</si>
  <si>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</si>
  <si>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</si>
  <si>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</si>
  <si>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</si>
  <si>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</si>
  <si>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</si>
  <si>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</si>
  <si>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</si>
  <si>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</si>
  <si>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</si>
  <si>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</si>
  <si>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</si>
  <si>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</si>
  <si>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</si>
  <si>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</si>
  <si>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</si>
  <si>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</si>
  <si>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</si>
  <si>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</si>
  <si>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</si>
  <si>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</si>
  <si>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</si>
  <si>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</si>
  <si>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</si>
  <si>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</si>
  <si>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</si>
  <si>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</si>
  <si>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</si>
  <si>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</si>
  <si>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</si>
  <si>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</si>
  <si>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</si>
  <si>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</si>
  <si>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</si>
  <si>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</si>
  <si>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</si>
  <si>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</si>
  <si>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</si>
  <si>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</si>
  <si>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</si>
  <si>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</si>
  <si>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</si>
  <si>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</si>
  <si>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</si>
  <si>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</si>
  <si>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</si>
  <si>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</si>
  <si>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</si>
  <si>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</si>
  <si>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</si>
  <si>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</si>
  <si>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</si>
  <si>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</si>
  <si>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</si>
  <si>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</si>
  <si>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</si>
  <si>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</si>
  <si>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</si>
  <si>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</si>
  <si>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</si>
  <si>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</si>
  <si>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</si>
  <si>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</si>
  <si>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</si>
  <si>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</si>
  <si>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</si>
  <si>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</si>
  <si>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</si>
  <si>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</si>
  <si>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</si>
  <si>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</si>
  <si>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</si>
  <si>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</si>
  <si>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</si>
  <si>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</si>
  <si>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</si>
  <si>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</si>
  <si>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</si>
  <si>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</si>
  <si>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</si>
  <si>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</si>
  <si>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</si>
  <si>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</si>
  <si>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</si>
  <si>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</si>
  <si>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</si>
  <si>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</si>
  <si>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</si>
  <si>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</si>
  <si>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</si>
  <si>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</si>
  <si>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</si>
  <si>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</si>
  <si>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</si>
  <si>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</si>
  <si>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</si>
  <si>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</si>
  <si>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</si>
  <si>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</si>
  <si>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</si>
  <si>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</si>
  <si>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</si>
  <si>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</si>
  <si>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</si>
  <si>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</si>
  <si>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</si>
  <si>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</si>
  <si>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</si>
  <si>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</si>
  <si>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</si>
  <si>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</si>
  <si>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</si>
  <si>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</si>
  <si>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</si>
  <si>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</si>
  <si>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</si>
  <si>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</si>
  <si>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</si>
  <si>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</si>
  <si>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</si>
  <si>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</si>
  <si>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</si>
  <si>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</si>
  <si>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</si>
  <si>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</si>
  <si>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</si>
  <si>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</si>
  <si>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</si>
  <si>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</si>
  <si>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</si>
  <si>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</si>
  <si>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</si>
  <si>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</si>
  <si>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</si>
  <si>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</si>
  <si>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</si>
  <si>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</si>
  <si>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</si>
  <si>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</si>
  <si>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</si>
  <si>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</si>
  <si>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</si>
  <si>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</si>
  <si>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</si>
  <si>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</si>
  <si>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</si>
  <si>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</si>
  <si>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</si>
  <si>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</si>
  <si>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</si>
  <si>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</si>
  <si>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</si>
  <si>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</si>
  <si>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</si>
  <si>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</si>
  <si>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</si>
  <si>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</si>
  <si>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</si>
  <si>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</si>
  <si>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</si>
  <si>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</si>
  <si>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</si>
  <si>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</si>
  <si>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</si>
  <si>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</si>
  <si>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</si>
  <si>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</si>
  <si>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</si>
  <si>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</si>
  <si>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</si>
  <si>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</si>
  <si>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</si>
  <si>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</si>
  <si>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</si>
  <si>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</si>
  <si>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</si>
  <si>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</si>
  <si>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</si>
  <si>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</si>
  <si>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</si>
  <si>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</si>
  <si>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</si>
  <si>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</si>
  <si>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</si>
  <si>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</si>
  <si>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</si>
  <si>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</si>
  <si>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</si>
  <si>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</si>
  <si>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</si>
  <si>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</si>
  <si>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</si>
  <si>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</si>
  <si>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</si>
  <si>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</si>
  <si>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</si>
  <si>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</si>
  <si>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</si>
  <si>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</si>
  <si>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</si>
  <si>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</si>
  <si>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</si>
  <si>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</si>
  <si>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</si>
  <si>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</si>
  <si>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</si>
  <si>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</si>
  <si>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</si>
  <si>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</si>
  <si>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</si>
  <si>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</si>
  <si>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</si>
  <si>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</si>
  <si>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</si>
  <si>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</si>
  <si>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</si>
  <si>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</si>
  <si>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</si>
  <si>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</si>
  <si>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</si>
  <si>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</si>
  <si>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</si>
  <si>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</si>
  <si>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</si>
  <si>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</si>
  <si>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</si>
  <si>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</si>
  <si>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</si>
  <si>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</si>
  <si>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</si>
  <si>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</si>
  <si>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</si>
  <si>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</si>
  <si>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</si>
  <si>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</si>
  <si>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</si>
  <si>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</si>
  <si>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</si>
  <si>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</si>
  <si>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</si>
  <si>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</si>
  <si>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</si>
  <si>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</si>
  <si>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</si>
  <si>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</si>
  <si>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</si>
  <si>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</si>
  <si>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</si>
  <si>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</si>
  <si>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</si>
  <si>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</si>
  <si>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</si>
  <si>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</si>
  <si>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</si>
  <si>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</si>
  <si>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</si>
  <si>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</si>
  <si>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</si>
  <si>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</si>
  <si>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</si>
  <si>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</si>
  <si>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</si>
  <si>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</si>
  <si>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</si>
  <si>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</si>
  <si>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</si>
  <si>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</si>
  <si>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</si>
  <si>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</si>
  <si>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</si>
  <si>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</si>
  <si>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</si>
  <si>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</si>
  <si>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</si>
  <si>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</si>
  <si>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</si>
  <si>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</si>
  <si>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</si>
  <si>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</si>
  <si>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</si>
  <si>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</si>
  <si>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</si>
  <si>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</si>
  <si>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</si>
  <si>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</si>
  <si>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</si>
  <si>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</si>
  <si>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</si>
  <si>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</si>
  <si>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</si>
  <si>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</si>
  <si>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</si>
  <si>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</si>
  <si>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</si>
  <si>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</si>
  <si>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</si>
  <si>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</si>
  <si>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</si>
  <si>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</si>
  <si>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</si>
  <si>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</si>
  <si>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</si>
  <si>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</si>
  <si>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</si>
  <si>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</si>
  <si>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</si>
  <si>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</si>
  <si>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</si>
  <si>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</si>
  <si>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</si>
  <si>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</si>
  <si>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</si>
  <si>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</si>
  <si>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</si>
  <si>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</si>
  <si>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</si>
  <si>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</si>
  <si>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</si>
  <si>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</si>
  <si>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</si>
  <si>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</si>
  <si>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</si>
  <si>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</si>
  <si>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</si>
  <si>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</si>
  <si>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</si>
  <si>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</si>
  <si>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</si>
  <si>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</si>
  <si>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</si>
  <si>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</si>
  <si>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</si>
  <si>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</si>
  <si>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</si>
  <si>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</si>
  <si>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</si>
  <si>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</si>
  <si>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</si>
  <si>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</si>
  <si>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</si>
  <si>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</si>
  <si>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</si>
  <si>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</si>
  <si>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</si>
  <si>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</si>
  <si>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</si>
  <si>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</si>
  <si>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</si>
  <si>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</si>
  <si>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</si>
  <si>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</si>
  <si>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</si>
  <si>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</si>
  <si>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</si>
  <si>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</si>
  <si>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</si>
  <si>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</si>
  <si>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</si>
  <si>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</si>
  <si>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</si>
  <si>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</si>
  <si>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</si>
  <si>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</si>
  <si>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</si>
  <si>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</si>
  <si>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</si>
  <si>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</si>
  <si>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</si>
  <si>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</si>
  <si>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</si>
  <si>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</si>
  <si>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</si>
  <si>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</si>
  <si>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</si>
  <si>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</si>
  <si>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</si>
  <si>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</si>
  <si>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</si>
  <si>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</si>
  <si>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</si>
  <si>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</si>
  <si>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</si>
  <si>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</si>
  <si>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</si>
  <si>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</si>
  <si>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</si>
  <si>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</si>
  <si>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</si>
  <si>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</si>
  <si>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</si>
  <si>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</si>
  <si>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</si>
  <si>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</si>
  <si>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</si>
  <si>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</si>
  <si>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</si>
  <si>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</si>
  <si>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</si>
  <si>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</si>
  <si>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</si>
  <si>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</si>
  <si>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</si>
  <si>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</si>
  <si>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</si>
  <si>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</si>
  <si>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</si>
  <si>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</si>
  <si>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</si>
  <si>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</si>
  <si>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</si>
  <si>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</si>
  <si>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</si>
  <si>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</si>
  <si>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</si>
  <si>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</si>
  <si>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</si>
  <si>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</si>
  <si>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</si>
  <si>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</si>
  <si>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</si>
  <si>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</si>
  <si>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</si>
  <si>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</si>
  <si>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</si>
  <si>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</si>
  <si>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</si>
  <si>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</si>
  <si>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</si>
  <si>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</si>
  <si>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</si>
  <si>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</si>
  <si>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</si>
  <si>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</si>
  <si>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</si>
  <si>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</si>
  <si>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</si>
  <si>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</si>
  <si>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</si>
  <si>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</si>
  <si>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</si>
  <si>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</si>
  <si>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</si>
  <si>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</si>
  <si>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</si>
  <si>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</si>
  <si>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</si>
  <si>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</si>
  <si>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</si>
  <si>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</si>
  <si>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</si>
  <si>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</si>
  <si>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</si>
  <si>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</si>
  <si>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</si>
  <si>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</si>
  <si>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</si>
  <si>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</si>
  <si>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</si>
  <si>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</si>
  <si>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</si>
  <si>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</si>
  <si>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</si>
  <si>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</si>
  <si>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</si>
  <si>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</si>
  <si>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</si>
  <si>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</si>
  <si>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</si>
  <si>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</si>
  <si>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</si>
  <si>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</si>
  <si>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</si>
  <si>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</si>
  <si>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</si>
  <si>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</si>
  <si>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</si>
  <si>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</si>
  <si>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</si>
  <si>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</si>
  <si>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</si>
  <si>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</si>
  <si>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</si>
  <si>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</si>
  <si>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</si>
  <si>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</si>
  <si>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</si>
  <si>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</si>
  <si>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</si>
  <si>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</si>
  <si>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</si>
  <si>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</si>
  <si>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</si>
  <si>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</si>
  <si>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</si>
  <si>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</si>
  <si>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</si>
  <si>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</si>
  <si>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</si>
  <si>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</si>
  <si>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</si>
  <si>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</si>
  <si>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</si>
  <si>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</si>
  <si>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</si>
  <si>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</si>
  <si>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</si>
  <si>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</si>
  <si>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</si>
  <si>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</si>
  <si>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</si>
  <si>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</si>
  <si>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</si>
  <si>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</si>
  <si>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</si>
  <si>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</si>
  <si>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</si>
  <si>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</si>
  <si>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</si>
  <si>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</si>
  <si>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</si>
  <si>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</si>
  <si>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</si>
  <si>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</si>
  <si>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</si>
  <si>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</si>
  <si>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</si>
  <si>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</si>
  <si>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</si>
  <si>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</si>
  <si>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</si>
  <si>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</si>
  <si>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</si>
  <si>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</si>
  <si>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</si>
  <si>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</si>
  <si>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</si>
  <si>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</si>
  <si>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</si>
  <si>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</si>
  <si>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</si>
  <si>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</si>
  <si>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</si>
  <si>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</si>
  <si>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</si>
  <si>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</si>
  <si>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</si>
  <si>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</si>
  <si>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</si>
  <si>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</si>
  <si>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</si>
  <si>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</si>
  <si>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</si>
  <si>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</si>
  <si>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</si>
  <si>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</si>
  <si>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</si>
  <si>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</si>
  <si>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</si>
  <si>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</si>
  <si>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</si>
  <si>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</si>
  <si>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</si>
  <si>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</si>
  <si>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</si>
  <si>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</si>
  <si>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</si>
  <si>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</si>
  <si>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</si>
  <si>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</si>
  <si>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</si>
  <si>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</si>
  <si>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</si>
  <si>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</si>
  <si>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</si>
  <si>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</si>
  <si>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</si>
  <si>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</si>
  <si>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</si>
  <si>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</si>
  <si>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</si>
  <si>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</si>
  <si>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</si>
  <si>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</si>
  <si>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</si>
  <si>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</si>
  <si>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</si>
  <si>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</si>
  <si>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</si>
  <si>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</si>
  <si>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</si>
  <si>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</si>
  <si>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</si>
  <si>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</si>
  <si>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</si>
  <si>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</si>
  <si>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</si>
  <si>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</si>
  <si>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</si>
  <si>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</si>
  <si>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</si>
  <si>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</si>
  <si>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</si>
  <si>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</si>
  <si>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</si>
  <si>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</si>
  <si>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</si>
  <si>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</si>
  <si>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</si>
  <si>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</si>
  <si>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</si>
  <si>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</si>
  <si>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</si>
  <si>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</si>
  <si>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</si>
  <si>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</si>
  <si>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</si>
  <si>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</si>
  <si>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</si>
  <si>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</si>
  <si>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</si>
  <si>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</si>
  <si>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</si>
  <si>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</si>
  <si>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</si>
  <si>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</si>
  <si>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</si>
  <si>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</si>
  <si>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</si>
  <si>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</si>
  <si>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</si>
  <si>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</si>
  <si>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</si>
  <si>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</si>
  <si>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</si>
  <si>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</si>
  <si>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</si>
  <si>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</si>
  <si>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</si>
  <si>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</si>
  <si>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</si>
  <si>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</si>
  <si>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</si>
  <si>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</si>
  <si>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</si>
  <si>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</si>
  <si>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</si>
  <si>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</si>
  <si>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</si>
  <si>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</si>
  <si>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</si>
  <si>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</si>
  <si>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</si>
  <si>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</si>
  <si>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</si>
  <si>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</si>
  <si>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</si>
  <si>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</si>
  <si>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</si>
  <si>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</si>
  <si>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</si>
  <si>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</si>
  <si>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</si>
  <si>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</si>
  <si>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</si>
  <si>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</si>
  <si>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</si>
  <si>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</si>
  <si>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</si>
  <si>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</si>
  <si>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</si>
  <si>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</si>
  <si>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</si>
  <si>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</si>
  <si>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</si>
  <si>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</si>
  <si>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</si>
  <si>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</si>
  <si>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</si>
  <si>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</si>
  <si>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</si>
  <si>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</si>
  <si>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</si>
  <si>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</si>
  <si>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</si>
  <si>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</si>
  <si>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</si>
  <si>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</si>
  <si>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</si>
  <si>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</si>
  <si>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</si>
  <si>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</si>
  <si>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</si>
  <si>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</si>
  <si>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</si>
  <si>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</si>
  <si>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</si>
  <si>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</si>
  <si>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</si>
  <si>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</si>
  <si>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</si>
  <si>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</si>
  <si>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</si>
  <si>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</si>
  <si>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</si>
  <si>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</si>
  <si>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</si>
  <si>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</si>
  <si>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</si>
  <si>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</si>
  <si>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</si>
  <si>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</si>
  <si>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</si>
  <si>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</si>
  <si>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</si>
  <si>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</si>
  <si>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</si>
  <si>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</si>
  <si>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</si>
  <si>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</si>
  <si>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</si>
  <si>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</si>
  <si>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</si>
  <si>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</si>
  <si>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</si>
  <si>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</si>
  <si>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</si>
  <si>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</si>
  <si>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</si>
  <si>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</si>
  <si>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</si>
  <si>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</si>
  <si>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</si>
  <si>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</si>
  <si>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</si>
  <si>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</si>
  <si>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</si>
  <si>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</si>
  <si>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</si>
  <si>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</si>
  <si>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</si>
  <si>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</si>
  <si>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</si>
  <si>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</si>
  <si>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</si>
  <si>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</si>
  <si>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</si>
  <si>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</si>
  <si>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</si>
  <si>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</si>
  <si>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</si>
  <si>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</si>
  <si>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</si>
  <si>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</si>
  <si>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</si>
  <si>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</si>
  <si>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</si>
  <si>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</si>
  <si>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</si>
  <si>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</si>
  <si>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</si>
  <si>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</si>
  <si>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</si>
  <si>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</si>
  <si>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</si>
  <si>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</si>
  <si>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</si>
  <si>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</si>
  <si>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</si>
  <si>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</si>
  <si>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</si>
  <si>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</si>
  <si>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</si>
  <si>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</si>
  <si>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</si>
  <si>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</si>
  <si>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</si>
  <si>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</si>
  <si>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</si>
  <si>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</si>
  <si>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</si>
  <si>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</si>
  <si>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</si>
  <si>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</si>
  <si>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</si>
  <si>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</si>
  <si>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</si>
  <si>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</si>
  <si>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</si>
  <si>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</si>
  <si>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</si>
  <si>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</si>
  <si>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</si>
  <si>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</si>
  <si>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</si>
  <si>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</si>
  <si>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</si>
  <si>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</si>
  <si>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</si>
  <si>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</si>
  <si>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</si>
  <si>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</si>
  <si>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</si>
  <si>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</si>
  <si>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</si>
  <si>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</si>
  <si>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</si>
  <si>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</si>
  <si>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</si>
  <si>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</si>
  <si>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</si>
  <si>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</si>
  <si>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</si>
  <si>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</si>
  <si>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</si>
  <si>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</si>
  <si>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</si>
  <si>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</si>
  <si>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</si>
  <si>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</si>
  <si>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</si>
  <si>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</si>
  <si>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</si>
  <si>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</si>
  <si>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</si>
  <si>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</si>
  <si>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</si>
  <si>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</si>
  <si>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</si>
  <si>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</si>
  <si>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</si>
  <si>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</si>
  <si>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</si>
  <si>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</si>
  <si>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</si>
  <si>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</si>
  <si>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</si>
  <si>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</si>
  <si>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</si>
  <si>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</si>
  <si>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</si>
  <si>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</si>
  <si>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</si>
  <si>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</si>
  <si>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</si>
  <si>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</si>
  <si>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</si>
  <si>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</si>
  <si>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</si>
  <si>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</si>
  <si>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</si>
  <si>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</si>
  <si>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</si>
  <si>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</si>
  <si>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</si>
  <si>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</si>
  <si>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</si>
  <si>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</si>
  <si>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</si>
  <si>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</si>
  <si>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</si>
  <si>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</si>
  <si>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</si>
  <si>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</si>
  <si>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</si>
  <si>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</si>
  <si>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</si>
  <si>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</si>
  <si>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</si>
  <si>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</si>
  <si>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</si>
  <si>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</si>
  <si>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</si>
  <si>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</si>
  <si>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</si>
  <si>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</si>
  <si>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</si>
  <si>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</si>
  <si>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</si>
  <si>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</si>
  <si>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</si>
  <si>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</si>
  <si>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</si>
  <si>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</si>
  <si>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</si>
  <si>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</si>
  <si>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</si>
  <si>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</si>
  <si>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</si>
  <si>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</si>
  <si>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</si>
  <si>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</si>
  <si>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</si>
  <si>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</si>
  <si>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</si>
  <si>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</si>
  <si>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</si>
  <si>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</si>
  <si>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</si>
  <si>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</si>
  <si>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</si>
  <si>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</si>
  <si>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</si>
  <si>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</si>
  <si>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</si>
  <si>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</si>
  <si>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</si>
  <si>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</si>
  <si>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</si>
  <si>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</si>
  <si>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</si>
  <si>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</si>
  <si>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</si>
  <si>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</si>
  <si>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</si>
  <si>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</si>
  <si>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</si>
  <si>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</si>
  <si>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</si>
  <si>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</si>
  <si>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</si>
  <si>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</si>
  <si>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</si>
  <si>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</si>
  <si>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</si>
  <si>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</si>
  <si>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</si>
  <si>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</si>
  <si>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</si>
  <si>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</si>
  <si>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</si>
  <si>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</si>
  <si>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</si>
  <si>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</si>
  <si>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</si>
  <si>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</si>
  <si>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</si>
  <si>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</si>
  <si>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</si>
  <si>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</si>
  <si>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</si>
  <si>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</si>
  <si>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</si>
  <si>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</si>
  <si>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</si>
  <si>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</si>
  <si>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</si>
  <si>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</si>
  <si>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</si>
  <si>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</si>
  <si>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</si>
  <si>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</si>
  <si>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</si>
  <si>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</si>
  <si>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</si>
  <si>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</si>
  <si>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</si>
  <si>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</si>
  <si>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</si>
  <si>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</si>
  <si>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</si>
  <si>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</si>
  <si>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</si>
  <si>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</si>
  <si>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</si>
  <si>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</si>
  <si>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</si>
  <si>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</si>
  <si>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</si>
  <si>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</si>
  <si>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</si>
  <si>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</si>
  <si>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</si>
  <si>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</si>
  <si>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</si>
  <si>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</si>
  <si>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</si>
  <si>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</si>
  <si>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</si>
  <si>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</si>
  <si>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</si>
  <si>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</si>
  <si>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</si>
  <si>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</si>
  <si>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</si>
  <si>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</si>
  <si>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</si>
  <si>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</si>
  <si>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</si>
  <si>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</si>
  <si>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</si>
  <si>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</si>
  <si>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</si>
  <si>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</si>
  <si>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</si>
  <si>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</si>
  <si>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</si>
  <si>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</si>
  <si>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</si>
  <si>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</si>
  <si>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</si>
  <si>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</si>
  <si>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</si>
  <si>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</si>
  <si>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</si>
  <si>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</si>
  <si>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</si>
  <si>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</si>
  <si>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</si>
  <si>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</si>
  <si>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</si>
  <si>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</si>
  <si>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</si>
  <si>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</si>
  <si>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</si>
  <si>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</si>
  <si>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</si>
  <si>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</si>
  <si>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</si>
  <si>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</si>
  <si>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</si>
  <si>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</si>
  <si>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</si>
  <si>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</si>
  <si>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</si>
  <si>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</si>
  <si>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</si>
  <si>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</si>
  <si>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</si>
  <si>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</si>
  <si>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</si>
  <si>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</si>
  <si>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</si>
  <si>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</si>
  <si>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</si>
  <si>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</si>
  <si>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</si>
  <si>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</si>
  <si>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</si>
  <si>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</si>
  <si>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</si>
  <si>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</si>
  <si>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</si>
  <si>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</si>
  <si>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</si>
  <si>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</si>
  <si>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</si>
  <si>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</si>
  <si>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</si>
  <si>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</si>
  <si>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</si>
  <si>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</si>
  <si>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</si>
  <si>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</si>
  <si>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</si>
  <si>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</si>
  <si>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</si>
  <si>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</si>
  <si>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</si>
  <si>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</si>
  <si>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</si>
  <si>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</si>
  <si>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</si>
  <si>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</si>
  <si>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</si>
  <si>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</si>
  <si>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</si>
  <si>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</si>
  <si>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</si>
  <si>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</si>
  <si>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</si>
  <si>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</si>
  <si>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</si>
  <si>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</si>
  <si>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</si>
  <si>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</si>
  <si>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</si>
  <si>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</si>
  <si>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</si>
  <si>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</si>
  <si>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</si>
  <si>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</si>
  <si>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</si>
  <si>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</si>
  <si>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</si>
  <si>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</si>
  <si>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</si>
  <si>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</si>
  <si>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</si>
  <si>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</si>
  <si>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</si>
  <si>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</si>
  <si>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</si>
  <si>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</si>
  <si>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</si>
  <si>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</si>
  <si>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</si>
  <si>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</si>
  <si>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</si>
  <si>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</si>
  <si>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</si>
  <si>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</si>
  <si>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</si>
  <si>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</si>
  <si>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</si>
  <si>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</si>
  <si>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</si>
  <si>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</si>
  <si>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</si>
  <si>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</si>
  <si>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</si>
  <si>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</si>
  <si>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</si>
  <si>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</si>
  <si>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</si>
  <si>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</si>
  <si>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</si>
  <si>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</si>
  <si>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</si>
  <si>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</si>
  <si>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</si>
  <si>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</si>
  <si>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</si>
  <si>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</si>
  <si>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</si>
  <si>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</si>
  <si>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</si>
  <si>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</si>
  <si>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</si>
  <si>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</si>
  <si>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</si>
  <si>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</si>
  <si>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</si>
  <si>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</si>
  <si>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</si>
  <si>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</si>
  <si>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</si>
  <si>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</si>
  <si>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</si>
  <si>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</si>
  <si>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</si>
  <si>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</si>
  <si>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</si>
  <si>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</si>
  <si>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</si>
  <si>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</si>
  <si>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</si>
  <si>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</si>
  <si>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</si>
  <si>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</si>
  <si>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</si>
  <si>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</si>
  <si>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</si>
  <si>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</si>
  <si>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</si>
  <si>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</si>
  <si>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</si>
  <si>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</si>
  <si>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</si>
  <si>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</si>
  <si>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</si>
  <si>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</si>
  <si>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</si>
  <si>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</si>
  <si>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</si>
  <si>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</si>
  <si>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</si>
  <si>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</si>
  <si>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</si>
  <si>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</si>
  <si>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</si>
  <si>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</si>
  <si>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</si>
  <si>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</si>
  <si>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</si>
  <si>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</si>
  <si>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</si>
  <si>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</si>
  <si>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</si>
  <si>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</si>
  <si>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</si>
  <si>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</si>
  <si>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</si>
  <si>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</si>
  <si>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</si>
  <si>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</si>
  <si>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</si>
  <si>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</si>
  <si>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</si>
  <si>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</si>
  <si>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</si>
  <si>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</si>
  <si>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</si>
  <si>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</si>
  <si>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</si>
  <si>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</si>
  <si>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</si>
  <si>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</si>
  <si>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</si>
  <si>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</si>
  <si>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</si>
  <si>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</si>
  <si>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</si>
  <si>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</si>
  <si>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</si>
  <si>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</si>
  <si>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</si>
  <si>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</si>
  <si>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</si>
  <si>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</si>
  <si>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</si>
  <si>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</si>
  <si>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</si>
  <si>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</si>
  <si>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</si>
  <si>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</si>
  <si>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</si>
  <si>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</si>
  <si>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</si>
  <si>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</si>
  <si>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</si>
  <si>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</si>
  <si>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</si>
  <si>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</si>
  <si>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</si>
  <si>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</si>
  <si>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</si>
  <si>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</si>
  <si>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</si>
  <si>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</si>
  <si>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</si>
  <si>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</si>
  <si>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</si>
  <si>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</si>
  <si>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</si>
  <si>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</si>
  <si>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</si>
  <si>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</si>
  <si>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</si>
  <si>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</si>
  <si>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</si>
  <si>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</si>
  <si>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</si>
  <si>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</si>
  <si>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</si>
  <si>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</si>
  <si>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</si>
  <si>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</si>
  <si>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</si>
  <si>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</si>
  <si>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</si>
  <si>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</si>
  <si>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</si>
  <si>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</si>
  <si>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</si>
  <si>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</si>
  <si>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</si>
  <si>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</si>
  <si>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</si>
  <si>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</si>
  <si>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</si>
  <si>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</si>
  <si>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</si>
  <si>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</si>
  <si>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</si>
  <si>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</si>
  <si>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</si>
  <si>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</si>
  <si>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</si>
  <si>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</si>
  <si>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</si>
  <si>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</si>
  <si>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</si>
  <si>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</si>
  <si>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</si>
  <si>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</si>
  <si>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</si>
  <si>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</si>
  <si>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</si>
  <si>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</si>
  <si>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</si>
  <si>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</si>
  <si>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</si>
  <si>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</si>
  <si>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</si>
  <si>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</si>
  <si>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</si>
  <si>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</si>
  <si>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</si>
  <si>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</si>
  <si>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</si>
  <si>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</si>
  <si>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</si>
  <si>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</si>
  <si>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</si>
  <si>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</si>
  <si>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</si>
  <si>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</si>
  <si>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</si>
  <si>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</si>
  <si>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</si>
  <si>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</si>
  <si>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</si>
  <si>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</si>
  <si>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</si>
  <si>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</si>
  <si>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</si>
  <si>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</si>
  <si>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</si>
  <si>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</si>
  <si>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</si>
  <si>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</si>
  <si>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</si>
  <si>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</si>
  <si>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</si>
  <si>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</si>
  <si>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</si>
  <si>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</si>
  <si>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</si>
  <si>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</si>
  <si>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</si>
  <si>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</si>
  <si>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</si>
  <si>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</si>
  <si>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</si>
  <si>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</si>
  <si>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</si>
  <si>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</si>
  <si>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</si>
  <si>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</si>
  <si>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</si>
  <si>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</si>
  <si>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</si>
  <si>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</si>
  <si>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</si>
  <si>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</si>
  <si>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</si>
  <si>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</si>
  <si>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</si>
  <si>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</si>
  <si>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</si>
  <si>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</si>
  <si>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</si>
  <si>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</si>
  <si>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</si>
  <si>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</si>
  <si>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</si>
  <si>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</si>
  <si>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</si>
  <si>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</si>
  <si>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</si>
  <si>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</si>
  <si>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</si>
  <si>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</si>
  <si>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</si>
  <si>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</si>
  <si>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</si>
  <si>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</si>
  <si>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</si>
  <si>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</si>
  <si>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</si>
  <si>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</si>
  <si>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</si>
  <si>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</si>
  <si>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</si>
  <si>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</si>
  <si>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</si>
  <si>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</si>
  <si>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</si>
  <si>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</si>
  <si>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</si>
  <si>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</si>
  <si>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</si>
  <si>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</si>
  <si>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</si>
  <si>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</si>
  <si>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</si>
  <si>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</si>
  <si>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</si>
  <si>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</si>
  <si>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</si>
  <si>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</si>
  <si>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</si>
  <si>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</si>
  <si>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</si>
  <si>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</si>
  <si>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</si>
  <si>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</si>
  <si>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</si>
  <si>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</si>
  <si>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</si>
  <si>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</si>
  <si>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</si>
  <si>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</si>
  <si>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</si>
  <si>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</si>
  <si>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</si>
  <si>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</si>
  <si>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</si>
  <si>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</si>
  <si>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</si>
  <si>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</si>
  <si>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</si>
  <si>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</si>
  <si>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</si>
  <si>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</si>
  <si>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</si>
  <si>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</si>
  <si>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</si>
  <si>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</si>
  <si>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</si>
  <si>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</si>
  <si>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</si>
  <si>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</si>
  <si>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</si>
  <si>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</si>
  <si>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</si>
  <si>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</si>
  <si>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</si>
  <si>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</si>
  <si>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</si>
  <si>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</si>
  <si>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</si>
  <si>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</si>
  <si>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</si>
  <si>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</si>
  <si>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</si>
  <si>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</si>
  <si>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</si>
  <si>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</si>
  <si>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</si>
  <si>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</si>
  <si>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</si>
  <si>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</si>
  <si>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</si>
  <si>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</si>
  <si>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</si>
  <si>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</si>
  <si>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</si>
  <si>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</si>
  <si>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</si>
  <si>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</si>
  <si>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</si>
  <si>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</si>
  <si>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</si>
  <si>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</si>
  <si>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</si>
  <si>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</si>
  <si>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</si>
  <si>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</si>
  <si>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</si>
  <si>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</si>
  <si>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</si>
  <si>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</si>
  <si>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</si>
  <si>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</si>
  <si>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</si>
  <si>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</si>
  <si>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</si>
  <si>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</si>
  <si>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</si>
  <si>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</si>
  <si>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</si>
  <si>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</si>
  <si>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</si>
  <si>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</si>
  <si>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</si>
  <si>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</si>
  <si>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</si>
  <si>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</si>
  <si>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</si>
  <si>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</si>
  <si>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</si>
  <si>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</si>
  <si>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</si>
  <si>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</si>
  <si>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</si>
  <si>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</si>
  <si>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</si>
  <si>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</si>
  <si>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</si>
  <si>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</si>
  <si>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</si>
  <si>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</si>
  <si>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</si>
  <si>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</si>
  <si>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</si>
  <si>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</si>
  <si>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</si>
  <si>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</si>
  <si>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</si>
  <si>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</si>
  <si>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</si>
  <si>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</si>
  <si>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</si>
  <si>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</si>
  <si>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</si>
  <si>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</si>
  <si>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</si>
  <si>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</si>
  <si>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</si>
  <si>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</si>
  <si>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</si>
  <si>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</si>
  <si>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</si>
  <si>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</si>
  <si>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</si>
  <si>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</si>
  <si>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</si>
  <si>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</si>
  <si>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</si>
  <si>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</si>
  <si>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</si>
  <si>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</si>
  <si>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</si>
  <si>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</si>
  <si>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</si>
  <si>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</si>
  <si>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</si>
  <si>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</si>
  <si>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</si>
  <si>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</si>
  <si>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</si>
  <si>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</si>
  <si>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</si>
  <si>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</si>
  <si>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</si>
  <si>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</si>
  <si>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</si>
  <si>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</si>
  <si>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</si>
  <si>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</si>
  <si>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</si>
  <si>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</si>
  <si>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</si>
  <si>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</si>
  <si>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</si>
  <si>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</si>
  <si>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</si>
  <si>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</si>
  <si>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</si>
  <si>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</si>
  <si>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</si>
  <si>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</si>
  <si>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</si>
  <si>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</si>
  <si>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</si>
  <si>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</si>
  <si>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</si>
  <si>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</si>
  <si>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</si>
  <si>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</si>
  <si>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</si>
  <si>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</si>
  <si>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</si>
  <si>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</si>
  <si>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</si>
  <si>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</si>
  <si>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</si>
  <si>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</si>
  <si>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</si>
  <si>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</si>
  <si>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</si>
  <si>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</si>
  <si>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</si>
  <si>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</si>
  <si>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</si>
  <si>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</si>
  <si>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</si>
  <si>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</si>
  <si>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</si>
  <si>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</si>
  <si>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</si>
  <si>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</si>
  <si>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</si>
  <si>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</si>
  <si>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</si>
  <si>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</si>
  <si>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</si>
  <si>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</si>
  <si>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</si>
  <si>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</si>
  <si>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</si>
  <si>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</si>
  <si>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</si>
  <si>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</si>
  <si>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</si>
  <si>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</si>
  <si>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</si>
  <si>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</si>
  <si>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</si>
  <si>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</si>
  <si>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</si>
  <si>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</si>
  <si>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</si>
  <si>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</si>
  <si>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</si>
  <si>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</si>
  <si>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</si>
  <si>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</si>
  <si>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</si>
  <si>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</si>
  <si>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</si>
  <si>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</si>
  <si>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</si>
  <si>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</si>
  <si>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</si>
  <si>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</si>
  <si>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</si>
  <si>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</si>
  <si>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</si>
  <si>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</si>
  <si>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</si>
  <si>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</si>
  <si>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</si>
  <si>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</si>
  <si>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</si>
  <si>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</si>
  <si>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</si>
  <si>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</si>
  <si>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</si>
  <si>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</si>
  <si>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</si>
  <si>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</si>
  <si>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</si>
  <si>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</si>
  <si>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</si>
  <si>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</si>
  <si>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</si>
  <si>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</si>
  <si>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</si>
  <si>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</si>
  <si>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</si>
  <si>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</si>
  <si>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</si>
  <si>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</si>
  <si>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</si>
  <si>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</si>
  <si>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</si>
  <si>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</si>
  <si>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</si>
  <si>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</si>
  <si>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</si>
  <si>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</si>
  <si>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</si>
  <si>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</si>
  <si>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</si>
  <si>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</si>
  <si>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</si>
  <si>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</si>
  <si>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</si>
  <si>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</si>
  <si>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</si>
  <si>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</si>
  <si>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</si>
  <si>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</si>
  <si>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</si>
  <si>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</si>
  <si>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</si>
  <si>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</si>
  <si>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</si>
  <si>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</si>
  <si>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</si>
  <si>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</si>
  <si>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</si>
  <si>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</si>
  <si>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</si>
  <si>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</si>
  <si>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</si>
  <si>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</si>
  <si>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</si>
  <si>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</si>
  <si>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</si>
  <si>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</si>
  <si>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</si>
  <si>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</si>
  <si>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</si>
  <si>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</si>
  <si>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</si>
  <si>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</si>
  <si>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</si>
  <si>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</si>
  <si>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</si>
  <si>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</si>
  <si>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</si>
  <si>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</si>
  <si>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</si>
  <si>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</si>
  <si>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</si>
  <si>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</si>
  <si>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</si>
  <si>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</si>
  <si>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</si>
  <si>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</si>
  <si>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</si>
  <si>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</si>
  <si>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</si>
  <si>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</si>
  <si>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</si>
  <si>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</si>
  <si>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</si>
  <si>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</si>
  <si>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</si>
  <si>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</si>
  <si>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</si>
  <si>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</si>
  <si>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</si>
  <si>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</si>
  <si>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</si>
  <si>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</si>
  <si>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</si>
  <si>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</si>
  <si>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</si>
  <si>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</si>
  <si>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</si>
  <si>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</si>
  <si>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</si>
  <si>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</si>
  <si>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</si>
  <si>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</si>
  <si>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</si>
  <si>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</si>
  <si>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</si>
  <si>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</si>
  <si>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</si>
  <si>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</si>
  <si>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</si>
  <si>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</si>
  <si>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</si>
  <si>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</si>
  <si>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</si>
  <si>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</si>
  <si>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</si>
  <si>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</si>
  <si>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</si>
  <si>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</si>
  <si>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</si>
  <si>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</si>
  <si>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</si>
  <si>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</si>
  <si>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</si>
  <si>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</si>
  <si>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</si>
  <si>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</si>
  <si>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</si>
  <si>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</si>
  <si>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</si>
  <si>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</si>
  <si>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</si>
  <si>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</si>
  <si>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</si>
  <si>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</si>
  <si>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</si>
  <si>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</si>
  <si>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</si>
  <si>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</si>
  <si>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</si>
  <si>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</si>
  <si>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</si>
  <si>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</si>
  <si>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</si>
  <si>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</si>
  <si>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</si>
  <si>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</si>
  <si>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</si>
  <si>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</si>
  <si>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</si>
  <si>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</si>
  <si>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</si>
  <si>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</si>
  <si>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</si>
  <si>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</si>
  <si>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</si>
  <si>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</si>
  <si>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</si>
  <si>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</si>
  <si>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</si>
  <si>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</si>
  <si>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</si>
  <si>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</si>
  <si>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</si>
  <si>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</si>
  <si>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</si>
  <si>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</si>
  <si>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</si>
  <si>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</si>
  <si>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</si>
  <si>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</si>
  <si>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</si>
  <si>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</si>
  <si>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</si>
  <si>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</si>
  <si>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</si>
  <si>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</si>
  <si>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</si>
  <si>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</si>
  <si>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</si>
  <si>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</si>
  <si>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</si>
  <si>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</si>
  <si>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</si>
  <si>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</si>
  <si>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</si>
  <si>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</si>
  <si>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</si>
  <si>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</si>
  <si>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</si>
  <si>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</si>
  <si>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</si>
  <si>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</si>
  <si>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</si>
  <si>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</si>
  <si>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</si>
  <si>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</si>
  <si>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</si>
  <si>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</si>
  <si>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</si>
  <si>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</si>
  <si>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</si>
  <si>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</si>
  <si>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</si>
  <si>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</si>
  <si>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</si>
  <si>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</si>
  <si>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</si>
  <si>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</si>
  <si>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</si>
  <si>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</si>
  <si>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</si>
  <si>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</si>
  <si>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</si>
  <si>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</si>
  <si>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</si>
  <si>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</si>
  <si>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</si>
  <si>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</si>
  <si>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</si>
  <si>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</si>
  <si>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</si>
  <si>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</si>
  <si>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</si>
  <si>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</si>
  <si>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</si>
  <si>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</si>
  <si>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</si>
  <si>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</si>
  <si>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</si>
  <si>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</si>
  <si>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</si>
  <si>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</si>
  <si>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</si>
  <si>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</si>
  <si>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</si>
  <si>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</si>
  <si>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</si>
  <si>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</si>
  <si>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</si>
  <si>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</si>
  <si>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</si>
  <si>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</si>
  <si>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</si>
  <si>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</si>
  <si>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</si>
  <si>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</si>
  <si>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</si>
  <si>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</si>
  <si>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</si>
  <si>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</si>
  <si>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</si>
  <si>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</si>
  <si>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</si>
  <si>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</si>
  <si>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</si>
  <si>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</si>
  <si>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</si>
  <si>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</si>
  <si>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</si>
  <si>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</si>
  <si>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</si>
  <si>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</si>
  <si>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</si>
  <si>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</si>
  <si>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</si>
  <si>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</si>
  <si>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</si>
  <si>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</si>
  <si>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</si>
  <si>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</si>
  <si>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</si>
  <si>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</si>
  <si>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</si>
  <si>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</si>
  <si>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</si>
  <si>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</si>
  <si>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</si>
  <si>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</si>
  <si>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</si>
  <si>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</si>
  <si>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</si>
  <si>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</si>
  <si>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</si>
  <si>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</si>
  <si>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</si>
  <si>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</si>
  <si>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</si>
  <si>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</si>
  <si>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</si>
  <si>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</si>
  <si>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</si>
  <si>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</si>
  <si>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</si>
  <si>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</si>
  <si>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</si>
  <si>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</si>
  <si>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</si>
  <si>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</si>
  <si>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</si>
  <si>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</si>
  <si>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</si>
  <si>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</si>
  <si>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</si>
  <si>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</si>
  <si>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</si>
  <si>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</si>
  <si>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</si>
  <si>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</si>
  <si>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</si>
  <si>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</si>
  <si>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</si>
  <si>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</si>
  <si>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</si>
  <si>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</si>
  <si>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</si>
  <si>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</si>
  <si>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</si>
  <si>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</si>
  <si>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</si>
  <si>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</si>
  <si>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</si>
  <si>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</si>
  <si>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</si>
  <si>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</si>
  <si>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</si>
  <si>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</si>
  <si>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</si>
  <si>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</si>
  <si>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</si>
  <si>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</si>
  <si>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</si>
  <si>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</si>
  <si>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</si>
  <si>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</si>
  <si>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</si>
  <si>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</si>
  <si>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</si>
  <si>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</si>
  <si>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</si>
  <si>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</si>
  <si>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</si>
  <si>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</si>
  <si>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</si>
  <si>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</si>
  <si>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</si>
  <si>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</si>
  <si>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</si>
  <si>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</si>
  <si>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</si>
  <si>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</si>
  <si>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</si>
  <si>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</si>
  <si>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</si>
  <si>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</si>
  <si>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</si>
  <si>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</si>
  <si>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</si>
  <si>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</si>
  <si>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</si>
  <si>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</si>
  <si>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</si>
  <si>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</si>
  <si>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</si>
  <si>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</si>
  <si>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</si>
  <si>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</si>
  <si>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</si>
  <si>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</si>
  <si>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</si>
  <si>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</si>
  <si>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</si>
  <si>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</si>
  <si>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</si>
  <si>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</si>
  <si>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</si>
  <si>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</si>
  <si>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</si>
  <si>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</si>
  <si>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</si>
  <si>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</si>
  <si>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</si>
  <si>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</si>
  <si>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</si>
  <si>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</si>
  <si>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</si>
  <si>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</si>
  <si>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</si>
  <si>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</si>
  <si>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</si>
  <si>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</si>
  <si>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</si>
  <si>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</si>
  <si>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</si>
  <si>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</si>
  <si>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</si>
  <si>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</si>
  <si>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</si>
  <si>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</si>
  <si>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</si>
  <si>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</si>
  <si>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</si>
  <si>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</si>
  <si>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</si>
  <si>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</si>
  <si>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</si>
  <si>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</si>
  <si>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</si>
  <si>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</si>
  <si>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</si>
  <si>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</si>
  <si>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</si>
  <si>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</si>
  <si>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</si>
  <si>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</si>
  <si>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</si>
  <si>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</si>
  <si>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</si>
  <si>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</si>
  <si>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</si>
  <si>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</si>
  <si>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</si>
  <si>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</si>
  <si>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</si>
  <si>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</si>
  <si>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</si>
  <si>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</si>
  <si>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</si>
  <si>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</si>
  <si>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</si>
  <si>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</si>
  <si>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</si>
  <si>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</si>
  <si>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</si>
  <si>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</si>
  <si>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</si>
  <si>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</si>
  <si>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</si>
  <si>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</si>
  <si>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</si>
  <si>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</si>
  <si>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</si>
  <si>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</si>
  <si>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</si>
  <si>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</si>
  <si>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</si>
  <si>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</si>
  <si>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</si>
  <si>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</si>
  <si>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</si>
  <si>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</si>
  <si>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</si>
  <si>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</si>
  <si>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</si>
  <si>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</si>
  <si>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</si>
  <si>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</si>
  <si>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</si>
  <si>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</si>
  <si>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</si>
  <si>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</si>
  <si>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</si>
  <si>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</si>
  <si>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</si>
  <si>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</si>
  <si>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</si>
  <si>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</si>
  <si>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</si>
  <si>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</si>
  <si>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</si>
  <si>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</si>
  <si>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</si>
  <si>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</si>
  <si>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</si>
  <si>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</si>
  <si>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</si>
  <si>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</si>
  <si>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</si>
  <si>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</si>
  <si>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</si>
  <si>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</si>
  <si>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</si>
  <si>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</si>
  <si>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</si>
  <si>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</si>
  <si>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</si>
  <si>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</si>
  <si>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</si>
  <si>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</si>
  <si>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</si>
  <si>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</si>
  <si>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</si>
  <si>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</si>
  <si>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</si>
  <si>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</si>
  <si>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</si>
  <si>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</si>
  <si>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</si>
  <si>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</si>
  <si>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</si>
  <si>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</si>
  <si>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</si>
  <si>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</si>
  <si>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</si>
  <si>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</si>
  <si>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</si>
  <si>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</si>
  <si>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</si>
  <si>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</si>
  <si>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</si>
  <si>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</si>
  <si>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</si>
  <si>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</si>
  <si>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</si>
  <si>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</si>
  <si>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</si>
  <si>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</si>
  <si>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</si>
  <si>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</si>
  <si>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</si>
  <si>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</si>
  <si>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</si>
  <si>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</si>
  <si>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</si>
  <si>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</si>
  <si>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</si>
  <si>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</si>
  <si>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</si>
  <si>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</si>
  <si>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</si>
  <si>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</si>
  <si>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</si>
  <si>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</si>
  <si>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</si>
  <si>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</si>
  <si>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</si>
  <si>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</si>
  <si>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</si>
  <si>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</si>
  <si>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</si>
  <si>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</si>
  <si>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</si>
  <si>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</si>
  <si>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</si>
  <si>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</si>
  <si>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</si>
  <si>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</si>
  <si>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</si>
  <si>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</si>
  <si>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</si>
  <si>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</si>
  <si>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</si>
  <si>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</si>
  <si>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</si>
  <si>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</si>
  <si>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</si>
  <si>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</si>
  <si>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</si>
  <si>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</si>
  <si>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</si>
  <si>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</si>
  <si>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</si>
  <si>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</si>
  <si>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</si>
  <si>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</si>
  <si>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</si>
  <si>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</si>
  <si>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</si>
  <si>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</si>
  <si>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</si>
  <si>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</si>
  <si>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</si>
  <si>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</si>
  <si>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</si>
  <si>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</si>
  <si>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</si>
  <si>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</si>
  <si>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</si>
  <si>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</si>
  <si>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</si>
  <si>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</si>
  <si>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</si>
  <si>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</si>
  <si>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</si>
  <si>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</si>
  <si>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</si>
  <si>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</si>
  <si>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</si>
  <si>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</si>
  <si>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</si>
  <si>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</si>
  <si>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</si>
  <si>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</si>
  <si>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</si>
  <si>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</si>
  <si>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</si>
  <si>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</si>
  <si>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</si>
  <si>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</si>
  <si>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</si>
  <si>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</si>
  <si>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</si>
  <si>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</si>
  <si>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</si>
  <si>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</si>
  <si>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</si>
  <si>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</si>
  <si>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</si>
  <si>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</si>
  <si>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</si>
  <si>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</si>
  <si>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</si>
  <si>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</si>
  <si>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</si>
  <si>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</si>
  <si>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</si>
  <si>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</si>
  <si>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</si>
  <si>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</si>
  <si>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</si>
  <si>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</si>
  <si>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</si>
  <si>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</si>
  <si>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</si>
  <si>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</si>
  <si>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</si>
  <si>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</si>
  <si>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</si>
  <si>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</si>
  <si>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</si>
  <si>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</si>
  <si>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</si>
  <si>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</si>
  <si>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</si>
  <si>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</si>
  <si>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</si>
  <si>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</si>
  <si>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</si>
  <si>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</si>
  <si>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</si>
  <si>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</si>
  <si>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</si>
  <si>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</si>
  <si>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</si>
  <si>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</si>
  <si>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</si>
  <si>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</si>
  <si>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</si>
  <si>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</si>
  <si>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</si>
  <si>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</si>
  <si>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</si>
  <si>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</si>
  <si>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</si>
  <si>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</si>
  <si>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</si>
  <si>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</si>
  <si>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</si>
  <si>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</si>
  <si>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</si>
  <si>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</si>
  <si>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</si>
  <si>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</si>
  <si>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</si>
  <si>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</si>
  <si>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</si>
  <si>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</si>
  <si>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</si>
  <si>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</si>
  <si>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</si>
  <si>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</si>
  <si>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</si>
  <si>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</si>
  <si>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</si>
  <si>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</si>
  <si>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</si>
  <si>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</si>
  <si>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</si>
  <si>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</si>
  <si>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</si>
  <si>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</si>
  <si>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</si>
  <si>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</si>
  <si>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</si>
  <si>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</si>
  <si>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</si>
  <si>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</si>
  <si>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</si>
  <si>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</si>
  <si>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</si>
  <si>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</si>
  <si>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</si>
  <si>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</si>
  <si>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</si>
  <si>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</si>
  <si>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</si>
  <si>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</si>
  <si>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</si>
  <si>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</si>
  <si>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</si>
  <si>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</si>
  <si>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</si>
  <si>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</si>
  <si>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</si>
  <si>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</si>
  <si>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</si>
  <si>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</si>
  <si>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</si>
  <si>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</si>
  <si>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</si>
  <si>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</si>
  <si>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</si>
  <si>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</si>
  <si>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</si>
  <si>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</si>
  <si>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</si>
  <si>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</si>
  <si>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</si>
  <si>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</si>
  <si>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</si>
  <si>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</si>
  <si>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</si>
  <si>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</si>
  <si>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</si>
  <si>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</si>
  <si>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</si>
  <si>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</si>
  <si>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</si>
  <si>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</si>
  <si>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</si>
  <si>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</si>
  <si>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</si>
  <si>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</si>
  <si>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</si>
  <si>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</si>
  <si>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</si>
  <si>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</si>
  <si>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</si>
  <si>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</si>
  <si>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</si>
  <si>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</si>
  <si>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</si>
  <si>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</si>
  <si>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</si>
  <si>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</si>
  <si>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</si>
  <si>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</si>
  <si>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</si>
  <si>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</si>
  <si>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</si>
  <si>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</si>
  <si>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</si>
  <si>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</si>
  <si>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</si>
  <si>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</si>
  <si>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</si>
  <si>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</si>
  <si>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</si>
  <si>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</si>
  <si>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</si>
  <si>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</si>
  <si>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</si>
  <si>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</si>
  <si>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</si>
  <si>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</si>
  <si>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</si>
  <si>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</si>
  <si>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</si>
  <si>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</si>
  <si>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</si>
  <si>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</si>
  <si>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</si>
  <si>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</si>
  <si>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</si>
  <si>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</si>
  <si>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</si>
  <si>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</si>
  <si>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</si>
  <si>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</si>
  <si>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</si>
  <si>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</si>
  <si>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</si>
  <si>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</si>
  <si>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</si>
  <si>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</si>
  <si>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</si>
  <si>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</si>
  <si>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</si>
  <si>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</si>
  <si>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</si>
  <si>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</si>
  <si>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</si>
  <si>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</si>
  <si>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</si>
  <si>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</si>
  <si>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</si>
  <si>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</si>
  <si>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</si>
  <si>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</si>
  <si>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</si>
  <si>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</si>
  <si>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</si>
  <si>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</si>
  <si>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</si>
  <si>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</si>
  <si>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</si>
  <si>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</si>
  <si>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</si>
  <si>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</si>
  <si>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</si>
  <si>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</si>
  <si>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</si>
  <si>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</si>
  <si>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</si>
  <si>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</si>
  <si>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</si>
  <si>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</si>
  <si>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</si>
  <si>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</si>
  <si>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</si>
  <si>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</si>
  <si>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</si>
  <si>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</si>
  <si>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</si>
  <si>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</si>
  <si>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</si>
  <si>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</si>
  <si>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</si>
  <si>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</si>
  <si>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</si>
  <si>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</si>
  <si>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</si>
  <si>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</si>
  <si>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</si>
  <si>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</si>
  <si>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</si>
  <si>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</si>
  <si>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</si>
  <si>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</si>
  <si>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</si>
  <si>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</si>
  <si>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</si>
  <si>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</si>
  <si>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</si>
  <si>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</si>
  <si>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</si>
  <si>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</si>
  <si>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</si>
  <si>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</si>
  <si>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</si>
  <si>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</si>
  <si>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</si>
  <si>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</si>
  <si>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</si>
  <si>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</si>
  <si>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</si>
  <si>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</si>
  <si>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</si>
  <si>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</si>
  <si>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</si>
  <si>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</si>
  <si>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</si>
  <si>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</si>
  <si>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</si>
  <si>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</si>
  <si>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</si>
  <si>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</si>
  <si>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</si>
  <si>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</si>
  <si>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</si>
  <si>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</si>
  <si>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</si>
  <si>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</si>
  <si>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</si>
  <si>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</si>
  <si>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</si>
  <si>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</si>
  <si>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</si>
  <si>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</si>
  <si>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</si>
  <si>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</si>
  <si>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</si>
  <si>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</si>
  <si>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</si>
  <si>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</si>
  <si>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</si>
  <si>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</si>
  <si>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</si>
  <si>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</si>
  <si>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</si>
  <si>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</si>
  <si>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</si>
  <si>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</si>
  <si>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</si>
  <si>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</si>
  <si>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</si>
  <si>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</si>
  <si>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</si>
  <si>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</si>
  <si>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</si>
  <si>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</si>
  <si>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</si>
  <si>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</si>
  <si>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</si>
  <si>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</si>
  <si>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</si>
  <si>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</si>
  <si>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</si>
  <si>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</si>
  <si>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</si>
  <si>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</si>
  <si>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</si>
  <si>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</si>
  <si>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</si>
  <si>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</si>
  <si>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</si>
  <si>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</si>
  <si>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</si>
  <si>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</si>
  <si>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</si>
  <si>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</si>
  <si>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</si>
  <si>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</si>
  <si>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</si>
  <si>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</si>
  <si>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</si>
  <si>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</si>
  <si>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</si>
  <si>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</si>
  <si>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</si>
  <si>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</si>
  <si>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</si>
  <si>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</si>
  <si>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</si>
  <si>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</si>
  <si>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</si>
  <si>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</si>
  <si>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</si>
  <si>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</si>
  <si>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</si>
  <si>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</si>
  <si>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</si>
  <si>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</si>
  <si>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</si>
  <si>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</si>
  <si>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</si>
  <si>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</si>
  <si>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</si>
  <si>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</si>
  <si>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</si>
  <si>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</si>
  <si>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</si>
  <si>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</si>
  <si>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</si>
  <si>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</si>
  <si>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</si>
  <si>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</si>
  <si>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</si>
  <si>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</si>
  <si>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</si>
  <si>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</si>
  <si>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</si>
  <si>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</si>
  <si>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</si>
  <si>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</si>
  <si>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</si>
  <si>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</si>
  <si>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</si>
  <si>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</si>
  <si>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</si>
  <si>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</si>
  <si>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</si>
  <si>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</si>
  <si>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</si>
  <si>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</si>
  <si>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</si>
  <si>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</si>
  <si>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</si>
  <si>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</si>
  <si>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</si>
  <si>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</si>
  <si>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</si>
  <si>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</si>
  <si>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</si>
  <si>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</si>
  <si>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</si>
  <si>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</si>
  <si>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</si>
  <si>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</si>
  <si>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</si>
  <si>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</si>
  <si>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</si>
  <si>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</si>
  <si>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</si>
  <si>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</si>
  <si>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</si>
  <si>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</si>
  <si>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</si>
  <si>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</si>
  <si>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</si>
  <si>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</si>
  <si>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</si>
  <si>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</si>
  <si>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</si>
  <si>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</si>
  <si>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</si>
  <si>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</si>
  <si>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</si>
  <si>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</si>
  <si>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</si>
  <si>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</si>
  <si>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</si>
  <si>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</si>
  <si>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</si>
  <si>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</si>
  <si>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</si>
  <si>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</si>
  <si>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</si>
  <si>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</si>
  <si>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</si>
  <si>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</si>
  <si>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</si>
  <si>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</si>
  <si>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</si>
  <si>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</si>
  <si>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</si>
  <si>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</si>
  <si>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</si>
  <si>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</si>
  <si>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</si>
  <si>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</si>
  <si>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</si>
  <si>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</si>
  <si>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</si>
  <si>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</si>
  <si>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</si>
  <si>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</si>
  <si>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</si>
  <si>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</si>
  <si>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</si>
  <si>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</si>
  <si>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</si>
  <si>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</si>
  <si>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</si>
  <si>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</si>
  <si>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</si>
  <si>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</si>
  <si>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</si>
  <si>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</si>
  <si>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</si>
  <si>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</si>
  <si>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</si>
  <si>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</si>
  <si>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</si>
  <si>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</si>
  <si>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</si>
  <si>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</si>
  <si>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</si>
  <si>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</si>
  <si>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</si>
  <si>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</si>
  <si>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</si>
  <si>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</si>
  <si>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</si>
  <si>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</si>
  <si>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</si>
  <si>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</si>
  <si>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</si>
  <si>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</si>
  <si>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</si>
  <si>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</si>
  <si>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</si>
  <si>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</si>
  <si>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</si>
  <si>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</si>
  <si>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</si>
  <si>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</si>
  <si>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</si>
  <si>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</si>
  <si>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</si>
  <si>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</si>
  <si>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</si>
  <si>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</si>
  <si>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</si>
  <si>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</si>
  <si>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</si>
  <si>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</si>
  <si>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</si>
  <si>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</si>
  <si>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</si>
  <si>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</si>
  <si>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</si>
  <si>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</si>
  <si>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</si>
  <si>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</si>
  <si>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</si>
  <si>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</si>
  <si>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</si>
  <si>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</si>
  <si>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</si>
  <si>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</si>
  <si>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</si>
  <si>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</si>
  <si>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</si>
  <si>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</si>
  <si>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</si>
  <si>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</si>
  <si>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</si>
  <si>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</si>
  <si>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</si>
  <si>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</si>
  <si>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</si>
  <si>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</si>
  <si>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</si>
  <si>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</si>
  <si>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</si>
  <si>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</si>
  <si>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</si>
  <si>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</si>
  <si>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</si>
  <si>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</si>
  <si>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</si>
  <si>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</si>
  <si>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</si>
  <si>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</si>
  <si>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</si>
  <si>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</si>
  <si>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</si>
  <si>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</si>
  <si>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</si>
  <si>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</si>
  <si>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</si>
  <si>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</si>
  <si>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</si>
  <si>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</si>
  <si>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</si>
  <si>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</si>
  <si>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</si>
  <si>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</si>
  <si>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</si>
  <si>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</si>
  <si>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</si>
  <si>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</si>
  <si>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</si>
  <si>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</si>
  <si>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</si>
  <si>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</si>
  <si>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</si>
  <si>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</si>
  <si>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</si>
  <si>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</si>
  <si>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</si>
  <si>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</si>
  <si>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</si>
  <si>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</si>
  <si>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</si>
  <si>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</si>
  <si>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</si>
  <si>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</si>
  <si>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</si>
  <si>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</si>
  <si>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</si>
  <si>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</si>
  <si>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</si>
  <si>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</si>
  <si>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</si>
  <si>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</si>
  <si>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</si>
  <si>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</si>
  <si>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</si>
  <si>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</si>
  <si>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</si>
  <si>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</si>
  <si>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</si>
  <si>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</si>
  <si>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</si>
  <si>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</si>
  <si>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</si>
  <si>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</si>
  <si>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</si>
  <si>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</si>
  <si>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</si>
  <si>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</si>
  <si>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</si>
  <si>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</si>
  <si>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</si>
  <si>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</si>
  <si>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</si>
  <si>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</si>
  <si>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</si>
  <si>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</si>
  <si>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</si>
  <si>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</si>
  <si>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</si>
  <si>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</si>
  <si>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</si>
  <si>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</si>
  <si>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</si>
  <si>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</si>
  <si>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</si>
  <si>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</si>
  <si>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</si>
  <si>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</si>
  <si>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</si>
  <si>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</si>
  <si>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</si>
  <si>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</si>
  <si>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</si>
  <si>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</si>
  <si>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</si>
  <si>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</si>
  <si>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</si>
  <si>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</si>
  <si>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</si>
  <si>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</si>
  <si>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</si>
  <si>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</si>
  <si>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</si>
  <si>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</si>
  <si>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</si>
  <si>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</si>
  <si>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</si>
  <si>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</si>
  <si>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</si>
  <si>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</si>
  <si>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</si>
  <si>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</si>
  <si>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</si>
  <si>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</si>
  <si>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</si>
  <si>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</si>
  <si>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</si>
  <si>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</si>
  <si>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</si>
  <si>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</si>
  <si>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</si>
  <si>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</si>
  <si>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</si>
  <si>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</si>
  <si>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</si>
  <si>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</si>
  <si>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</si>
  <si>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</si>
  <si>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</si>
  <si>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</si>
  <si>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</si>
  <si>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</si>
  <si>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</si>
  <si>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</si>
  <si>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</si>
  <si>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</si>
  <si>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</si>
  <si>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</si>
  <si>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</si>
  <si>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</si>
  <si>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</si>
  <si>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</si>
  <si>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</si>
  <si>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</si>
  <si>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</si>
  <si>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</si>
  <si>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</si>
  <si>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</si>
  <si>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</si>
  <si>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</si>
  <si>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</si>
  <si>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</si>
  <si>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</si>
  <si>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</si>
  <si>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</si>
  <si>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</si>
  <si>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</si>
  <si>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</si>
  <si>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</si>
  <si>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</si>
  <si>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</si>
  <si>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</si>
  <si>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</si>
  <si>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</si>
  <si>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</si>
  <si>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</si>
  <si>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</si>
  <si>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</si>
  <si>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</si>
  <si>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</si>
  <si>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</si>
  <si>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</si>
  <si>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</si>
  <si>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</si>
  <si>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</si>
  <si>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</si>
  <si>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</si>
  <si>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</si>
  <si>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</si>
  <si>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</si>
  <si>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</si>
  <si>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</si>
  <si>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</si>
  <si>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</si>
  <si>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</si>
  <si>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</si>
  <si>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</si>
  <si>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</si>
  <si>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</si>
  <si>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</si>
  <si>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</si>
  <si>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</si>
  <si>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</si>
  <si>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</si>
  <si>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</si>
  <si>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</si>
  <si>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</si>
  <si>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</si>
  <si>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</si>
  <si>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</si>
  <si>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</si>
  <si>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</si>
  <si>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</si>
  <si>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</si>
  <si>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</si>
  <si>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</si>
  <si>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</si>
  <si>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</si>
  <si>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</si>
  <si>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</si>
  <si>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</si>
  <si>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</si>
  <si>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</si>
  <si>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</si>
  <si>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</si>
  <si>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</si>
  <si>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</si>
  <si>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</si>
  <si>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</si>
  <si>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</si>
  <si>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</si>
  <si>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</si>
  <si>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</si>
  <si>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</si>
  <si>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</si>
  <si>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</si>
  <si>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</si>
  <si>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</si>
  <si>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</si>
  <si>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</si>
  <si>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</si>
  <si>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</si>
  <si>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</si>
  <si>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</si>
  <si>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</si>
  <si>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</si>
  <si>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</si>
  <si>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</si>
  <si>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</si>
  <si>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</si>
  <si>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</si>
  <si>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</si>
  <si>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</si>
  <si>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</si>
  <si>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</si>
  <si>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</si>
  <si>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</si>
  <si>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</si>
  <si>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</si>
  <si>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</si>
  <si>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</si>
  <si>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</si>
  <si>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</si>
  <si>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</si>
  <si>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</si>
  <si>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</si>
  <si>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</si>
  <si>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</si>
  <si>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</si>
  <si>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</si>
  <si>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</si>
  <si>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</si>
  <si>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</si>
  <si>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</si>
  <si>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</si>
  <si>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</si>
  <si>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</si>
  <si>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</si>
  <si>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</si>
  <si>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</si>
  <si>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</si>
  <si>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</si>
  <si>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</si>
  <si>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</si>
  <si>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</si>
  <si>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</si>
  <si>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</si>
  <si>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</si>
  <si>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</si>
  <si>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</si>
  <si>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</si>
  <si>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</si>
  <si>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</si>
  <si>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</si>
  <si>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</si>
  <si>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</si>
  <si>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</si>
  <si>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</si>
  <si>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</si>
  <si>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</si>
  <si>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</si>
  <si>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</si>
  <si>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</si>
  <si>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</si>
  <si>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</si>
  <si>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</si>
  <si>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</si>
  <si>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</si>
  <si>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</si>
  <si>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</si>
  <si>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</si>
  <si>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</si>
  <si>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</si>
  <si>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</si>
  <si>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</si>
  <si>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</si>
  <si>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</si>
  <si>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</si>
  <si>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</si>
  <si>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</si>
  <si>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</si>
  <si>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</si>
  <si>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</si>
  <si>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</si>
  <si>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</si>
  <si>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</si>
  <si>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</si>
  <si>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</si>
  <si>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</si>
  <si>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</si>
  <si>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</si>
  <si>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</si>
  <si>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</si>
  <si>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</si>
  <si>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</si>
  <si>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</si>
  <si>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</si>
  <si>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</si>
  <si>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</si>
  <si>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</si>
  <si>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</si>
  <si>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</si>
  <si>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</si>
  <si>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</si>
  <si>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</si>
  <si>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</si>
  <si>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</si>
  <si>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</si>
  <si>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</si>
  <si>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</si>
  <si>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</si>
  <si>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</si>
  <si>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</si>
  <si>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</si>
  <si>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</si>
  <si>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</si>
  <si>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</si>
  <si>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</si>
  <si>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</si>
  <si>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</si>
  <si>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</si>
  <si>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</si>
  <si>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</si>
  <si>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</si>
  <si>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</si>
  <si>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</si>
  <si>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</si>
  <si>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</si>
  <si>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</si>
  <si>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</si>
  <si>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</si>
  <si>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</si>
  <si>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</si>
  <si>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</si>
  <si>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</si>
  <si>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</si>
  <si>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</si>
  <si>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</si>
  <si>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</si>
  <si>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</si>
  <si>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</si>
  <si>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</si>
  <si>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</si>
  <si>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</si>
  <si>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</si>
  <si>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</si>
  <si>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</si>
  <si>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</si>
  <si>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</si>
  <si>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</si>
  <si>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</si>
  <si>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</si>
  <si>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</si>
  <si>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</si>
  <si>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</si>
  <si>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</si>
  <si>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</si>
  <si>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</si>
  <si>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</si>
  <si>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</si>
  <si>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</si>
  <si>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</si>
  <si>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</si>
  <si>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</si>
  <si>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</si>
  <si>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</si>
  <si>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</si>
  <si>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</si>
  <si>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</si>
  <si>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</si>
  <si>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</si>
  <si>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</si>
  <si>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</si>
  <si>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</si>
  <si>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</si>
  <si>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</si>
  <si>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</si>
  <si>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</si>
  <si>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</si>
  <si>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</si>
  <si>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</si>
  <si>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</si>
  <si>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</si>
  <si>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</si>
  <si>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</si>
  <si>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</si>
  <si>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</si>
  <si>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</si>
  <si>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</si>
  <si>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</si>
  <si>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</si>
  <si>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</si>
  <si>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</si>
  <si>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</si>
  <si>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</si>
  <si>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</si>
  <si>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</si>
  <si>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</si>
  <si>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</si>
  <si>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</si>
  <si>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</si>
  <si>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</si>
  <si>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</si>
  <si>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</si>
  <si>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</si>
  <si>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</si>
  <si>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</si>
  <si>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</si>
  <si>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</si>
  <si>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</si>
  <si>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</si>
  <si>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</si>
  <si>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</si>
  <si>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</si>
  <si>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</si>
  <si>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</si>
  <si>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</si>
  <si>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</si>
  <si>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</si>
  <si>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</si>
  <si>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</si>
  <si>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</si>
  <si>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</si>
  <si>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</si>
  <si>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</si>
  <si>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</si>
  <si>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</si>
  <si>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</si>
  <si>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</si>
  <si>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</si>
  <si>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</si>
  <si>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</si>
  <si>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</si>
  <si>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</si>
  <si>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</si>
  <si>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</si>
  <si>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</si>
  <si>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</si>
  <si>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</si>
  <si>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</si>
  <si>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</si>
  <si>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</si>
  <si>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</si>
  <si>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</si>
  <si>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</si>
  <si>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</si>
  <si>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</si>
  <si>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</si>
  <si>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</si>
  <si>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</si>
  <si>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</si>
  <si>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</si>
  <si>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</si>
  <si>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</si>
  <si>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</si>
  <si>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</si>
  <si>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</si>
  <si>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</si>
  <si>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</si>
  <si>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</si>
  <si>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</si>
  <si>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</si>
  <si>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</si>
  <si>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</si>
  <si>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</si>
  <si>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</si>
  <si>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</si>
  <si>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</si>
  <si>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</si>
  <si>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</si>
  <si>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</si>
  <si>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</si>
  <si>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</si>
  <si>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</si>
  <si>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</si>
  <si>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</si>
  <si>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</si>
  <si>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</si>
  <si>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</si>
  <si>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</si>
  <si>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</si>
  <si>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</si>
  <si>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</si>
  <si>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</si>
  <si>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</si>
  <si>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</si>
  <si>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</si>
  <si>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</si>
  <si>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</si>
  <si>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</si>
  <si>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</si>
  <si>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</si>
  <si>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</si>
  <si>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</si>
  <si>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</si>
  <si>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</si>
  <si>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</si>
  <si>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</si>
  <si>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</si>
  <si>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</si>
  <si>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</si>
  <si>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</si>
  <si>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</si>
  <si>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</si>
  <si>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</si>
  <si>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</si>
  <si>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</si>
  <si>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</si>
  <si>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</si>
  <si>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</si>
  <si>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</si>
  <si>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</si>
  <si>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</si>
  <si>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</si>
  <si>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</si>
  <si>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</si>
  <si>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</si>
  <si>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</si>
  <si>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</si>
  <si>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</si>
  <si>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</si>
  <si>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</si>
  <si>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</si>
  <si>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</si>
  <si>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</si>
  <si>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</si>
  <si>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</si>
  <si>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</si>
  <si>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</si>
  <si>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</si>
  <si>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</si>
  <si>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</si>
  <si>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</si>
  <si>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</si>
  <si>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</si>
  <si>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</si>
  <si>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</si>
  <si>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</si>
  <si>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</si>
  <si>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</si>
  <si>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</si>
  <si>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</si>
  <si>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</si>
  <si>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</si>
  <si>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</si>
  <si>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</si>
  <si>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</si>
  <si>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</si>
  <si>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</si>
  <si>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</si>
  <si>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</si>
  <si>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</si>
  <si>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</si>
  <si>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</si>
  <si>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</si>
  <si>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</si>
  <si>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</si>
  <si>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</si>
  <si>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</si>
  <si>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</si>
  <si>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</si>
  <si>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</si>
  <si>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</si>
  <si>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</si>
  <si>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</si>
  <si>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</si>
  <si>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</si>
  <si>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</si>
  <si>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</si>
  <si>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</si>
  <si>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</si>
  <si>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</si>
  <si>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</si>
  <si>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</si>
  <si>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</si>
  <si>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</si>
  <si>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</si>
  <si>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</si>
  <si>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</si>
  <si>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</si>
  <si>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</si>
  <si>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</si>
  <si>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</si>
  <si>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</si>
  <si>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</si>
  <si>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</si>
  <si>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</si>
  <si>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</si>
  <si>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</si>
  <si>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</si>
  <si>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</si>
  <si>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</si>
  <si>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</si>
  <si>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</si>
  <si>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</si>
  <si>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</si>
  <si>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</si>
  <si>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</si>
  <si>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</si>
  <si>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</si>
  <si>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</si>
  <si>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</si>
  <si>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</si>
  <si>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</si>
  <si>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</si>
  <si>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</si>
  <si>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</si>
  <si>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</si>
  <si>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</si>
  <si>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</si>
  <si>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</si>
  <si>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</si>
  <si>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</si>
  <si>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</si>
  <si>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</si>
  <si>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</si>
  <si>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</si>
  <si>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</si>
  <si>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</si>
  <si>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</si>
  <si>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</si>
  <si>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</si>
  <si>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</si>
  <si>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</si>
  <si>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</si>
  <si>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</si>
  <si>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</si>
  <si>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</si>
  <si>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</si>
  <si>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</si>
  <si>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</si>
  <si>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</si>
  <si>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</si>
  <si>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</si>
  <si>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</si>
  <si>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</si>
  <si>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</si>
  <si>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</si>
  <si>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</si>
  <si>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</si>
  <si>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</si>
  <si>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</si>
  <si>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</si>
  <si>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</si>
  <si>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</si>
  <si>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</si>
  <si>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</si>
  <si>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</si>
  <si>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</si>
  <si>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</si>
  <si>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</si>
  <si>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</si>
  <si>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</si>
  <si>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</si>
  <si>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</si>
  <si>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</si>
  <si>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</si>
  <si>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</si>
  <si>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</si>
  <si>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</si>
  <si>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</si>
  <si>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</si>
  <si>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</si>
  <si>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</si>
  <si>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</si>
  <si>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</si>
  <si>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</si>
  <si>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</si>
  <si>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</si>
  <si>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</si>
  <si>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</si>
  <si>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</si>
  <si>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</si>
  <si>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</si>
  <si>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</si>
  <si>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</si>
  <si>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</si>
  <si>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</si>
  <si>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</si>
  <si>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</si>
  <si>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</si>
  <si>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</si>
  <si>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</si>
  <si>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</si>
  <si>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</si>
  <si>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</si>
  <si>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</si>
  <si>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</si>
  <si>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</si>
  <si>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</si>
  <si>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</si>
  <si>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</si>
  <si>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</si>
  <si>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</si>
  <si>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</si>
  <si>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</si>
  <si>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</si>
  <si>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</si>
  <si>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</si>
  <si>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</si>
  <si>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</si>
  <si>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</si>
  <si>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</si>
  <si>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</si>
  <si>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</si>
  <si>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</si>
  <si>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</si>
  <si>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</si>
  <si>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</si>
  <si>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</si>
  <si>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</si>
  <si>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</si>
  <si>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</si>
  <si>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</si>
  <si>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</si>
  <si>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</si>
  <si>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</si>
  <si>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</si>
  <si>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</si>
  <si>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</si>
  <si>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</si>
  <si>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</si>
  <si>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</si>
  <si>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</si>
  <si>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</si>
  <si>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</si>
  <si>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</si>
  <si>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</si>
  <si>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</si>
  <si>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</si>
  <si>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</si>
  <si>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</si>
  <si>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</si>
  <si>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</si>
  <si>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</si>
  <si>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</si>
  <si>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</si>
  <si>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</si>
  <si>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</si>
  <si>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</si>
  <si>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</si>
  <si>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</si>
  <si>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</si>
  <si>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</si>
  <si>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</si>
  <si>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</si>
  <si>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</si>
  <si>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</si>
  <si>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</si>
  <si>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</si>
  <si>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</si>
  <si>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</si>
  <si>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</si>
  <si>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</si>
  <si>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</si>
  <si>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</si>
  <si>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</si>
  <si>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</si>
  <si>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</si>
  <si>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</si>
  <si>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</si>
  <si>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</si>
  <si>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</si>
  <si>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</si>
  <si>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</si>
  <si>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</si>
  <si>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</si>
  <si>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</si>
  <si>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</si>
  <si>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</si>
  <si>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</si>
  <si>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</si>
  <si>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</si>
  <si>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</si>
  <si>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</si>
  <si>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</si>
  <si>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</si>
  <si>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</si>
  <si>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</si>
  <si>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</si>
  <si>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</si>
  <si>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</si>
  <si>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</si>
  <si>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</si>
  <si>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</si>
  <si>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</si>
  <si>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</si>
  <si>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</si>
  <si>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</si>
  <si>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</si>
  <si>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</si>
  <si>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</si>
  <si>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</si>
  <si>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</si>
  <si>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</si>
  <si>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</si>
  <si>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</si>
  <si>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</si>
  <si>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</si>
  <si>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</si>
  <si>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</si>
  <si>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</si>
  <si>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</si>
  <si>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</si>
  <si>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</si>
  <si>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</si>
  <si>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</si>
  <si>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</si>
  <si>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</si>
  <si>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</si>
  <si>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</si>
  <si>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</si>
  <si>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</si>
  <si>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</si>
  <si>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</si>
  <si>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</si>
  <si>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</si>
  <si>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</si>
  <si>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</si>
  <si>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</si>
  <si>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</si>
  <si>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</si>
  <si>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</si>
  <si>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</si>
  <si>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</si>
  <si>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</si>
  <si>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</si>
  <si>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</si>
  <si>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</si>
  <si>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</si>
  <si>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</si>
  <si>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</si>
  <si>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</si>
  <si>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</si>
  <si>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</si>
  <si>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</si>
  <si>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</si>
  <si>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</si>
  <si>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</si>
  <si>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</si>
  <si>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</si>
  <si>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</si>
  <si>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</si>
  <si>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</si>
  <si>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</si>
  <si>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</si>
  <si>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</si>
  <si>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</si>
  <si>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</si>
  <si>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</si>
  <si>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</si>
  <si>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</si>
  <si>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</si>
  <si>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</si>
  <si>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</si>
  <si>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</si>
  <si>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</si>
  <si>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</si>
  <si>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</si>
  <si>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</si>
  <si>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</si>
  <si>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</si>
  <si>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</si>
  <si>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</si>
  <si>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</si>
  <si>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</si>
  <si>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</si>
  <si>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</si>
  <si>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</si>
  <si>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</si>
  <si>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</si>
  <si>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</si>
  <si>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</si>
  <si>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</si>
  <si>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</si>
  <si>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</si>
  <si>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</si>
  <si>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</si>
  <si>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</si>
  <si>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</si>
  <si>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</si>
  <si>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</si>
  <si>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</si>
  <si>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</si>
  <si>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</si>
  <si>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</si>
  <si>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</si>
  <si>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</si>
  <si>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</si>
  <si>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</si>
  <si>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</si>
  <si>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</si>
  <si>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</si>
  <si>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</si>
  <si>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</si>
  <si>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</si>
  <si>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</si>
  <si>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</si>
  <si>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</si>
  <si>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</si>
  <si>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</si>
  <si>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</si>
  <si>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</si>
  <si>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</si>
  <si>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</si>
  <si>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</si>
  <si>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</si>
  <si>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</si>
  <si>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</si>
  <si>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</si>
  <si>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</si>
  <si>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</si>
  <si>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</si>
  <si>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</si>
  <si>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</si>
  <si>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</si>
  <si>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</si>
  <si>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</si>
  <si>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</si>
  <si>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</si>
  <si>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</si>
  <si>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</si>
  <si>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</si>
  <si>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</si>
  <si>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</si>
  <si>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</si>
  <si>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</si>
  <si>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</si>
  <si>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</si>
  <si>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</si>
  <si>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</si>
  <si>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</si>
  <si>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</si>
  <si>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</si>
  <si>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</si>
  <si>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</si>
  <si>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</si>
  <si>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</si>
  <si>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</si>
  <si>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</si>
  <si>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</si>
  <si>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</si>
  <si>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</si>
  <si>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</si>
  <si>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</si>
  <si>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</si>
  <si>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</si>
  <si>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</si>
  <si>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</si>
  <si>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</si>
  <si>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</si>
  <si>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</si>
  <si>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</si>
  <si>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</si>
  <si>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</si>
  <si>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</si>
  <si>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</si>
  <si>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</si>
  <si>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</si>
  <si>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</si>
  <si>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</si>
  <si>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</si>
  <si>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</si>
  <si>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</si>
  <si>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</si>
  <si>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</si>
  <si>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</si>
  <si>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</si>
  <si>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</si>
  <si>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</si>
  <si>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</si>
  <si>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</si>
  <si>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</si>
  <si>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</si>
  <si>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</si>
  <si>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</si>
  <si>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</si>
  <si>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</si>
  <si>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</si>
  <si>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</si>
  <si>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</si>
  <si>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</si>
  <si>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</si>
  <si>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</si>
  <si>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</si>
  <si>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</si>
  <si>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</si>
  <si>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</si>
  <si>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</si>
  <si>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</si>
  <si>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</si>
  <si>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</si>
  <si>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</si>
  <si>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</si>
  <si>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</si>
  <si>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</si>
  <si>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</si>
  <si>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</si>
  <si>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</si>
  <si>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</si>
  <si>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</si>
  <si>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</si>
  <si>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</si>
  <si>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</si>
  <si>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</si>
  <si>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</si>
  <si>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</si>
  <si>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</si>
  <si>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</si>
  <si>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</si>
  <si>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</si>
  <si>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</si>
  <si>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</si>
  <si>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</si>
  <si>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</si>
  <si>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</si>
  <si>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</si>
  <si>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</si>
  <si>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</si>
  <si>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</si>
  <si>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</si>
  <si>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</si>
  <si>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</si>
  <si>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</si>
  <si>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</si>
  <si>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</si>
  <si>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</si>
  <si>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</si>
  <si>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</si>
  <si>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</si>
  <si>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</si>
  <si>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</si>
  <si>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</si>
  <si>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</si>
  <si>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</si>
  <si>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</si>
  <si>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</si>
  <si>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</si>
  <si>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</si>
  <si>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</si>
  <si>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</si>
  <si>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</si>
  <si>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</si>
  <si>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</si>
  <si>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</si>
  <si>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</si>
  <si>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</si>
  <si>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</si>
  <si>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</si>
  <si>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</si>
  <si>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</si>
  <si>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</si>
  <si>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</si>
  <si>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</si>
  <si>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</si>
  <si>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</si>
  <si>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</si>
  <si>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</si>
  <si>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</si>
  <si>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</si>
  <si>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</si>
  <si>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</si>
  <si>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</si>
  <si>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</si>
  <si>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</si>
  <si>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</si>
  <si>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</si>
  <si>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</si>
  <si>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</si>
  <si>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</si>
  <si>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</si>
  <si>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</si>
  <si>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</si>
  <si>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</si>
  <si>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</si>
  <si>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</si>
  <si>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</si>
  <si>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</si>
  <si>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</si>
  <si>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</si>
  <si>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</si>
  <si>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</si>
  <si>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</si>
  <si>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</si>
  <si>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</si>
  <si>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</si>
  <si>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</si>
  <si>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</si>
  <si>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</si>
  <si>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</si>
  <si>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</si>
  <si>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</si>
  <si>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</si>
  <si>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</si>
  <si>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</si>
  <si>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</si>
  <si>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</si>
  <si>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</si>
  <si>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</si>
  <si>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</si>
  <si>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</si>
  <si>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</si>
  <si>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</si>
  <si>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</si>
  <si>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</si>
  <si>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</si>
  <si>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</si>
  <si>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</si>
  <si>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</si>
  <si>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</si>
  <si>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</si>
  <si>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</si>
  <si>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</si>
  <si>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</si>
  <si>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</si>
  <si>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</si>
  <si>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</si>
  <si>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</si>
  <si>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</si>
  <si>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</si>
  <si>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</si>
  <si>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</si>
  <si>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</si>
  <si>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</si>
  <si>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</si>
  <si>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</si>
  <si>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</si>
  <si>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</si>
  <si>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</si>
  <si>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</si>
  <si>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</si>
  <si>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</si>
  <si>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</si>
  <si>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</si>
  <si>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</si>
  <si>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</si>
  <si>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</si>
  <si>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</si>
  <si>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</si>
  <si>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</si>
  <si>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</si>
  <si>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</si>
  <si>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</si>
  <si>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</si>
  <si>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</si>
  <si>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</si>
  <si>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</si>
  <si>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</si>
  <si>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</si>
  <si>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</si>
  <si>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</si>
  <si>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</si>
  <si>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</si>
  <si>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</si>
  <si>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</si>
  <si>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</si>
  <si>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</si>
  <si>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</si>
  <si>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</si>
  <si>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</si>
  <si>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</si>
  <si>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</si>
  <si>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</si>
  <si>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</si>
  <si>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</si>
  <si>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</si>
  <si>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</si>
  <si>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</si>
  <si>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</si>
  <si>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</si>
  <si>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</si>
  <si>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</si>
  <si>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</si>
  <si>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</si>
  <si>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</si>
  <si>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</si>
  <si>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</si>
  <si>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</si>
  <si>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</si>
  <si>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</si>
  <si>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</si>
  <si>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</si>
  <si>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</si>
  <si>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</si>
  <si>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</si>
  <si>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</si>
  <si>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</si>
  <si>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</si>
  <si>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</si>
  <si>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</si>
  <si>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</si>
  <si>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</si>
  <si>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</si>
  <si>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</si>
  <si>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</si>
  <si>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</si>
  <si>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</si>
  <si>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</si>
  <si>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</si>
  <si>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</si>
  <si>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</si>
  <si>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</si>
  <si>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</si>
  <si>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</si>
  <si>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</si>
  <si>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</si>
  <si>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</si>
  <si>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</si>
  <si>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</si>
  <si>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</si>
  <si>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</si>
  <si>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</si>
  <si>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</si>
  <si>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</si>
  <si>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</si>
  <si>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</si>
  <si>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</si>
  <si>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</si>
  <si>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</si>
  <si>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</si>
  <si>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</si>
  <si>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</si>
  <si>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</si>
  <si>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</si>
  <si>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</si>
  <si>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</si>
  <si>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</si>
  <si>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</si>
  <si>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</si>
  <si>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</si>
  <si>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</si>
  <si>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</si>
  <si>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</si>
  <si>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</si>
  <si>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</si>
  <si>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</si>
  <si>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</si>
  <si>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</si>
  <si>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</si>
  <si>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</si>
  <si>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</si>
  <si>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</si>
  <si>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</si>
  <si>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</si>
  <si>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</si>
  <si>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</si>
  <si>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</si>
  <si>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</si>
  <si>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</si>
  <si>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</si>
  <si>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</si>
  <si>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</si>
  <si>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</si>
  <si>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</si>
  <si>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</si>
  <si>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</si>
  <si>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</si>
  <si>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</si>
  <si>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</si>
  <si>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</si>
  <si>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</si>
  <si>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</si>
  <si>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</si>
  <si>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</si>
  <si>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</si>
  <si>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</si>
  <si>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</si>
  <si>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</si>
  <si>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</si>
  <si>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</si>
  <si>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</si>
  <si>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</si>
  <si>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</si>
  <si>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</si>
  <si>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</si>
  <si>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</si>
  <si>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</si>
  <si>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</si>
  <si>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</si>
  <si>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</si>
  <si>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</si>
  <si>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</si>
  <si>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</si>
  <si>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</si>
  <si>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</si>
  <si>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</si>
  <si>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</si>
  <si>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</si>
  <si>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</si>
  <si>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</si>
  <si>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</si>
  <si>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</si>
  <si>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</si>
  <si>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</si>
  <si>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</si>
  <si>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</si>
  <si>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</si>
  <si>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</si>
  <si>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</si>
  <si>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</si>
  <si>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</si>
  <si>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</si>
  <si>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</si>
  <si>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</si>
  <si>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</si>
  <si>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</si>
  <si>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</si>
  <si>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</si>
  <si>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</si>
  <si>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</si>
  <si>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</si>
  <si>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</si>
  <si>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</si>
  <si>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</si>
  <si>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</si>
  <si>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</si>
  <si>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</si>
  <si>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</si>
  <si>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</si>
  <si>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</si>
  <si>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</si>
  <si>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</si>
  <si>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</si>
  <si>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</si>
  <si>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</si>
  <si>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</si>
  <si>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</si>
  <si>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</si>
  <si>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</si>
  <si>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</si>
  <si>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</si>
  <si>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</si>
  <si>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</si>
  <si>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</si>
  <si>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</si>
  <si>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</si>
  <si>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</si>
  <si>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</si>
  <si>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</si>
  <si>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</si>
  <si>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</si>
  <si>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</si>
  <si>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</si>
  <si>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</si>
  <si>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</si>
  <si>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</si>
  <si>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</si>
  <si>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</si>
  <si>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</si>
  <si>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</si>
  <si>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</si>
  <si>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</si>
  <si>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</si>
  <si>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</si>
  <si>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</si>
  <si>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</si>
  <si>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</si>
  <si>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</si>
  <si>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</si>
  <si>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</si>
  <si>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</si>
  <si>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</si>
  <si>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</si>
  <si>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</si>
  <si>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</si>
  <si>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</si>
  <si>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</si>
  <si>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</si>
  <si>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</si>
  <si>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</si>
  <si>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</si>
  <si>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</si>
  <si>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</si>
  <si>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</si>
  <si>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</si>
  <si>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</si>
  <si>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</si>
  <si>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</si>
  <si>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</si>
  <si>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</si>
  <si>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</si>
  <si>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</si>
  <si>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</si>
  <si>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</si>
  <si>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</si>
  <si>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</si>
  <si>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</si>
  <si>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</si>
  <si>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</si>
  <si>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</si>
  <si>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</si>
  <si>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</si>
  <si>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</si>
  <si>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</si>
  <si>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</si>
  <si>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</si>
  <si>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</si>
  <si>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</si>
  <si>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</si>
  <si>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</si>
  <si>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</si>
  <si>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</si>
  <si>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</si>
  <si>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</si>
  <si>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</si>
  <si>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</si>
  <si>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</si>
  <si>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</si>
  <si>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</si>
  <si>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</si>
  <si>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</si>
  <si>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</si>
  <si>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</si>
  <si>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</si>
  <si>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</si>
  <si>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</si>
  <si>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</si>
  <si>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</si>
  <si>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</si>
  <si>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</si>
  <si>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</si>
  <si>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</si>
  <si>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</si>
  <si>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</si>
  <si>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</si>
  <si>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</si>
  <si>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</si>
  <si>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</si>
  <si>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</si>
  <si>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</si>
  <si>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</si>
  <si>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</si>
  <si>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</si>
  <si>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</si>
  <si>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</si>
  <si>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</si>
  <si>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</si>
  <si>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</si>
  <si>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</si>
  <si>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</si>
  <si>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</si>
  <si>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</si>
  <si>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</si>
  <si>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</si>
  <si>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</si>
  <si>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</si>
  <si>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</si>
  <si>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</si>
  <si>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</si>
  <si>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</si>
  <si>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</si>
  <si>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</si>
  <si>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</si>
  <si>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</si>
  <si>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</si>
  <si>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</si>
  <si>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</si>
  <si>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</si>
  <si>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</si>
  <si>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</si>
  <si>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</si>
  <si>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</si>
  <si>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</si>
  <si>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</si>
  <si>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</si>
  <si>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</si>
  <si>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</si>
  <si>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</si>
  <si>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</si>
  <si>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</si>
  <si>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</si>
  <si>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</si>
  <si>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</si>
  <si>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</si>
  <si>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</si>
  <si>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</si>
  <si>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</si>
  <si>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</si>
  <si>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</si>
  <si>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</si>
  <si>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</si>
  <si>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</si>
  <si>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</si>
  <si>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</si>
  <si>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</si>
  <si>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</si>
  <si>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</si>
  <si>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</si>
  <si>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</si>
  <si>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</si>
  <si>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</si>
  <si>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</si>
  <si>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</si>
  <si>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</si>
  <si>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</si>
  <si>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</si>
  <si>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</si>
  <si>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</si>
  <si>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</si>
  <si>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</si>
  <si>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</si>
  <si>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</si>
  <si>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</si>
  <si>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</si>
  <si>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</si>
  <si>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</si>
  <si>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</si>
  <si>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</si>
  <si>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</si>
  <si>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</si>
  <si>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</si>
  <si>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</si>
  <si>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</si>
  <si>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</si>
  <si>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</si>
  <si>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</si>
  <si>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</si>
  <si>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</si>
  <si>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</si>
  <si>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</si>
  <si>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</si>
  <si>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</si>
  <si>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</si>
  <si>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</si>
  <si>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</si>
  <si>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</si>
  <si>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</si>
  <si>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</si>
  <si>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</si>
  <si>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</si>
  <si>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</si>
  <si>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</si>
  <si>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</si>
  <si>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</si>
  <si>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</si>
  <si>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</si>
  <si>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</si>
  <si>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</si>
  <si>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</si>
  <si>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</si>
  <si>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</si>
  <si>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</si>
  <si>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</si>
  <si>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</si>
  <si>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</si>
  <si>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</si>
  <si>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</si>
  <si>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</si>
  <si>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</si>
  <si>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</si>
  <si>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</si>
  <si>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</si>
  <si>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</si>
  <si>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</si>
  <si>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</si>
  <si>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</si>
  <si>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</si>
  <si>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</si>
  <si>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</si>
  <si>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</si>
  <si>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</si>
  <si>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</si>
  <si>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</si>
  <si>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</si>
  <si>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</si>
  <si>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</si>
  <si>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</si>
  <si>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</si>
  <si>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</si>
  <si>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</si>
  <si>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</si>
  <si>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</si>
  <si>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</si>
  <si>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</si>
  <si>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</si>
  <si>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</si>
  <si>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</si>
  <si>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</si>
  <si>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</si>
  <si>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</si>
  <si>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</si>
  <si>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</si>
  <si>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</si>
  <si>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</si>
  <si>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</si>
  <si>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</si>
  <si>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</si>
  <si>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</si>
  <si>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</si>
  <si>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</si>
  <si>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</si>
  <si>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</si>
  <si>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</si>
  <si>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</si>
  <si>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</si>
  <si>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</si>
  <si>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</si>
  <si>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</si>
  <si>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</si>
  <si>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</si>
  <si>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</si>
  <si>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</si>
  <si>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</si>
  <si>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</si>
  <si>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</si>
  <si>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</si>
  <si>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</si>
  <si>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</si>
  <si>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</si>
  <si>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</si>
  <si>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</si>
  <si>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</si>
  <si>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</si>
  <si>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</si>
  <si>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</si>
  <si>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</si>
  <si>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</si>
  <si>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</si>
  <si>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</si>
  <si>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</si>
  <si>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</si>
  <si>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</si>
  <si>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</si>
  <si>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</si>
  <si>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</si>
  <si>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</si>
  <si>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</si>
  <si>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</si>
  <si>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</si>
  <si>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</si>
  <si>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</si>
  <si>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</si>
  <si>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</si>
  <si>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</si>
  <si>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</si>
  <si>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</si>
  <si>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</si>
  <si>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</si>
  <si>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</si>
  <si>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</si>
  <si>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</si>
  <si>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</si>
  <si>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</si>
  <si>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</si>
  <si>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</si>
  <si>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</si>
  <si>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</si>
  <si>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</si>
  <si>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</si>
  <si>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</si>
  <si>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</si>
  <si>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</si>
  <si>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</si>
  <si>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</si>
  <si>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</si>
  <si>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</si>
  <si>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</si>
  <si>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</si>
  <si>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</si>
  <si>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</si>
  <si>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</si>
  <si>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</si>
  <si>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</si>
  <si>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</si>
  <si>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</si>
  <si>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</si>
  <si>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</si>
  <si>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</si>
  <si>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</si>
  <si>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</si>
  <si>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</si>
  <si>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</si>
  <si>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</si>
  <si>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</si>
  <si>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</si>
  <si>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</si>
  <si>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</si>
  <si>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</si>
  <si>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</si>
  <si>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</si>
  <si>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</si>
  <si>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</si>
  <si>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</si>
  <si>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</si>
  <si>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</si>
  <si>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</si>
  <si>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</si>
  <si>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</si>
  <si>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</si>
  <si>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</si>
  <si>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</si>
  <si>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</si>
  <si>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</si>
  <si>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</si>
  <si>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</si>
  <si>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</si>
  <si>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</si>
  <si>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</si>
  <si>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</si>
  <si>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</si>
  <si>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</si>
  <si>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</si>
  <si>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</si>
  <si>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</si>
  <si>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</si>
  <si>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</si>
  <si>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</si>
  <si>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</si>
  <si>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</si>
  <si>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</si>
  <si>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</si>
  <si>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</si>
  <si>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</si>
  <si>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</si>
  <si>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</si>
  <si>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</si>
  <si>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</si>
  <si>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</si>
  <si>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</si>
  <si>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</si>
  <si>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</si>
  <si>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</si>
  <si>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</si>
  <si>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</si>
  <si>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</si>
  <si>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</si>
  <si>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</si>
  <si>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</si>
  <si>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</si>
  <si>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</si>
  <si>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</si>
  <si>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</si>
  <si>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</si>
  <si>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</si>
  <si>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</si>
  <si>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</si>
  <si>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</si>
  <si>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</si>
  <si>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</si>
  <si>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</si>
  <si>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</si>
  <si>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</si>
  <si>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</si>
  <si>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</si>
  <si>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</si>
  <si>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</si>
  <si>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</si>
  <si>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</si>
  <si>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</si>
  <si>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</si>
  <si>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</si>
  <si>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</si>
  <si>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</si>
  <si>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</si>
  <si>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</si>
  <si>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</si>
  <si>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</si>
  <si>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</si>
  <si>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</si>
  <si>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</si>
  <si>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</si>
  <si>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</si>
  <si>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</si>
  <si>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</si>
  <si>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</si>
  <si>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</si>
  <si>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</si>
  <si>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</si>
  <si>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</si>
  <si>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</si>
  <si>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</si>
  <si>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</si>
  <si>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</si>
  <si>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</si>
  <si>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</si>
  <si>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</si>
  <si>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</si>
  <si>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</si>
  <si>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</si>
  <si>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</si>
  <si>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</si>
  <si>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</si>
  <si>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</si>
  <si>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</si>
  <si>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</si>
  <si>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</si>
  <si>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</si>
  <si>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</si>
  <si>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</si>
  <si>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</si>
  <si>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</si>
  <si>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</si>
  <si>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</si>
  <si>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</si>
  <si>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</si>
  <si>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</si>
  <si>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</si>
  <si>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</si>
  <si>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</si>
  <si>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</si>
  <si>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</si>
  <si>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</si>
  <si>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</si>
  <si>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</si>
  <si>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</si>
  <si>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</si>
  <si>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</si>
  <si>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</si>
  <si>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</si>
  <si>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</si>
  <si>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</si>
  <si>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</si>
  <si>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</si>
  <si>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</si>
  <si>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</si>
  <si>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</si>
  <si>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</si>
  <si>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</si>
  <si>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</si>
  <si>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</si>
  <si>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</si>
  <si>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</si>
  <si>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</si>
  <si>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</si>
  <si>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</si>
  <si>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</si>
  <si>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</si>
  <si>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</si>
  <si>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</si>
  <si>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</si>
  <si>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</si>
  <si>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</si>
  <si>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</si>
  <si>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</si>
  <si>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</si>
  <si>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</si>
  <si>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</si>
  <si>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</si>
  <si>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</si>
  <si>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</si>
  <si>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</si>
  <si>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</si>
  <si>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</si>
  <si>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</si>
  <si>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</si>
  <si>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</si>
  <si>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</si>
  <si>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</si>
  <si>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</si>
  <si>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</si>
  <si>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</si>
  <si>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</si>
  <si>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</si>
  <si>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</si>
  <si>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</si>
  <si>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</si>
  <si>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</si>
  <si>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</si>
  <si>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</si>
  <si>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</si>
  <si>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</si>
  <si>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</si>
  <si>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</si>
  <si>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</si>
  <si>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</si>
  <si>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</si>
  <si>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</si>
  <si>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</si>
  <si>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</si>
  <si>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</si>
  <si>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</si>
  <si>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</si>
  <si>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</si>
  <si>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</si>
  <si>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</si>
  <si>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</si>
  <si>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</si>
  <si>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</si>
  <si>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</si>
  <si>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</si>
  <si>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</si>
  <si>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</si>
  <si>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</si>
  <si>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</si>
  <si>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</si>
  <si>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</si>
  <si>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</si>
  <si>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</si>
  <si>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</si>
  <si>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</si>
  <si>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</si>
  <si>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</si>
  <si>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</si>
  <si>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</si>
  <si>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</si>
  <si>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</si>
  <si>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</si>
  <si>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</si>
  <si>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</si>
  <si>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</si>
  <si>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</si>
  <si>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</si>
  <si>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</si>
  <si>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</si>
  <si>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</si>
  <si>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</si>
  <si>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</si>
  <si>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</si>
  <si>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</si>
  <si>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</si>
  <si>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</si>
  <si>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</si>
  <si>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</si>
  <si>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</si>
  <si>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</si>
  <si>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</si>
  <si>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</si>
  <si>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</si>
  <si>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</si>
  <si>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</si>
  <si>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</si>
  <si>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</si>
  <si>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</si>
  <si>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</si>
  <si>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</si>
  <si>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</si>
  <si>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</si>
  <si>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</si>
  <si>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</si>
  <si>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</si>
  <si>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</si>
  <si>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</si>
  <si>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</si>
  <si>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</si>
  <si>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</si>
  <si>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</si>
  <si>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</si>
  <si>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</si>
  <si>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</si>
  <si>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</si>
  <si>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</si>
  <si>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</si>
  <si>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</si>
  <si>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</si>
  <si>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</si>
  <si>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</si>
  <si>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</si>
  <si>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</si>
  <si>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</si>
  <si>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</si>
  <si>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</si>
  <si>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</si>
  <si>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</si>
  <si>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</si>
  <si>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</si>
  <si>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</si>
  <si>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</si>
  <si>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</si>
  <si>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</si>
  <si>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</si>
  <si>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</si>
  <si>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</si>
  <si>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</si>
  <si>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</si>
  <si>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</si>
  <si>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</si>
  <si>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</si>
  <si>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</si>
  <si>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</si>
  <si>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</si>
  <si>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</si>
  <si>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</si>
  <si>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</si>
  <si>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</si>
  <si>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</si>
  <si>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</si>
  <si>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</si>
  <si>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</si>
  <si>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</si>
  <si>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</si>
  <si>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</si>
  <si>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</si>
  <si>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</si>
  <si>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</si>
  <si>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</si>
  <si>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</si>
  <si>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</si>
  <si>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</si>
  <si>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</si>
  <si>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</si>
  <si>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</si>
  <si>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</si>
  <si>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</si>
  <si>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</si>
  <si>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</si>
  <si>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</si>
  <si>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</si>
  <si>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</si>
  <si>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</si>
  <si>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</si>
  <si>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</si>
  <si>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</si>
  <si>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</si>
  <si>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</si>
  <si>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</si>
  <si>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</si>
  <si>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</si>
  <si>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</si>
  <si>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</si>
  <si>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</si>
  <si>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</si>
  <si>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</si>
  <si>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</si>
  <si>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</si>
  <si>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</si>
  <si>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</si>
  <si>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</si>
  <si>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</si>
  <si>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</si>
  <si>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</si>
  <si>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</si>
  <si>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</si>
  <si>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</si>
  <si>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</si>
  <si>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</si>
  <si>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</si>
  <si>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</si>
  <si>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</si>
  <si>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</si>
  <si>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</si>
  <si>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</si>
  <si>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</si>
  <si>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</si>
  <si>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</si>
  <si>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</si>
  <si>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</si>
  <si>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</si>
  <si>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</si>
  <si>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</si>
  <si>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</si>
  <si>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</si>
  <si>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</si>
  <si>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</si>
  <si>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</si>
  <si>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</si>
  <si>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</si>
  <si>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</si>
  <si>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</si>
  <si>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</si>
  <si>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</si>
  <si>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</si>
  <si>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</si>
  <si>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</si>
  <si>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</si>
  <si>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</si>
  <si>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</si>
  <si>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</si>
  <si>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</si>
  <si>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</si>
  <si>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</si>
  <si>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</si>
  <si>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</si>
  <si>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</si>
  <si>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</si>
  <si>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</si>
  <si>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</si>
  <si>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</si>
  <si>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</si>
  <si>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</si>
  <si>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</si>
  <si>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</si>
  <si>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</si>
  <si>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</si>
  <si>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</si>
  <si>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</si>
  <si>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</si>
  <si>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</si>
  <si>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</si>
  <si>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</si>
  <si>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</si>
  <si>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</si>
  <si>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</si>
  <si>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</si>
  <si>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</si>
  <si>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</si>
  <si>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</si>
  <si>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</si>
  <si>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</si>
  <si>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</si>
  <si>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</si>
  <si>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</si>
  <si>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</si>
  <si>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</si>
  <si>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</si>
  <si>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</si>
  <si>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</si>
  <si>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</si>
  <si>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</si>
  <si>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</si>
  <si>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</si>
  <si>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</si>
  <si>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</si>
  <si>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</si>
  <si>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</si>
  <si>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</si>
  <si>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</si>
  <si>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</si>
  <si>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</si>
  <si>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</si>
  <si>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</si>
  <si>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</si>
  <si>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</si>
  <si>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</si>
  <si>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</si>
  <si>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</si>
  <si>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</si>
  <si>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</si>
  <si>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</si>
  <si>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</si>
  <si>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</si>
  <si>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</si>
  <si>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</si>
  <si>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</si>
  <si>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</si>
  <si>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</si>
  <si>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</si>
  <si>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</si>
  <si>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</si>
  <si>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</si>
  <si>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</si>
  <si>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</si>
  <si>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</si>
  <si>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</si>
  <si>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</si>
  <si>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</si>
  <si>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</si>
  <si>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</si>
  <si>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</si>
  <si>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</si>
  <si>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</si>
  <si>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</si>
  <si>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</si>
  <si>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</si>
  <si>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</si>
  <si>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</si>
  <si>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</si>
  <si>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</si>
  <si>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</si>
  <si>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</si>
  <si>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</si>
  <si>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</si>
  <si>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</si>
  <si>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</si>
  <si>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</si>
  <si>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</si>
  <si>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</si>
  <si>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</si>
  <si>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</si>
  <si>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</si>
  <si>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</si>
  <si>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</si>
  <si>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</si>
  <si>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</si>
  <si>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</si>
  <si>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</si>
  <si>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</si>
  <si>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</si>
  <si>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</si>
  <si>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</si>
  <si>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</si>
  <si>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</si>
  <si>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</si>
  <si>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</si>
  <si>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</si>
  <si>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</si>
  <si>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</si>
  <si>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</si>
  <si>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</si>
  <si>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</si>
  <si>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</si>
  <si>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</si>
  <si>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</si>
  <si>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</si>
  <si>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</si>
  <si>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</si>
  <si>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</si>
  <si>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</si>
  <si>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</si>
  <si>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</si>
  <si>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</si>
  <si>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</si>
  <si>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</si>
  <si>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</si>
  <si>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</si>
  <si>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</si>
  <si>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</si>
  <si>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</si>
  <si>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</si>
  <si>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</si>
  <si>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</si>
  <si>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</si>
  <si>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</si>
  <si>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</si>
  <si>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</si>
  <si>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</si>
  <si>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</si>
  <si>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</si>
  <si>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</si>
  <si>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</si>
  <si>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</si>
  <si>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</si>
  <si>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</si>
  <si>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</si>
  <si>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</si>
  <si>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</si>
  <si>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</si>
  <si>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</si>
  <si>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</si>
  <si>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</si>
  <si>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</si>
  <si>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</si>
  <si>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</si>
  <si>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</si>
  <si>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</si>
  <si>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</si>
  <si>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</si>
  <si>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</si>
  <si>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</si>
  <si>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</si>
  <si>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</si>
  <si>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</si>
  <si>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</si>
  <si>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</si>
  <si>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</si>
  <si>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</si>
  <si>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</si>
  <si>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</si>
  <si>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</si>
  <si>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</si>
  <si>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</si>
  <si>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</si>
  <si>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</si>
  <si>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</si>
  <si>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</si>
  <si>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</si>
  <si>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</si>
  <si>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</si>
  <si>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</si>
  <si>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</si>
  <si>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</si>
  <si>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</si>
  <si>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</si>
  <si>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</si>
  <si>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</si>
  <si>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</si>
  <si>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</si>
  <si>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</si>
  <si>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</si>
  <si>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</si>
  <si>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</si>
  <si>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</si>
  <si>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</si>
  <si>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</si>
  <si>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</si>
  <si>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</si>
  <si>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</si>
  <si>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</si>
  <si>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</si>
  <si>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</si>
  <si>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</si>
  <si>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</si>
  <si>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</si>
  <si>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</si>
  <si>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</si>
  <si>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</si>
  <si>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</si>
  <si>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</si>
  <si>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</si>
  <si>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</si>
  <si>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</si>
  <si>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</si>
  <si>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</si>
  <si>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</si>
  <si>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</si>
  <si>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</si>
  <si>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</si>
  <si>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</si>
  <si>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</si>
  <si>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</si>
  <si>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</si>
  <si>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</si>
  <si>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</si>
  <si>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</si>
  <si>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</si>
  <si>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</si>
  <si>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</si>
  <si>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</si>
  <si>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</si>
  <si>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</si>
  <si>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</si>
  <si>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</si>
  <si>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</si>
  <si>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</si>
  <si>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</si>
  <si>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</si>
  <si>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</si>
  <si>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</si>
  <si>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</si>
  <si>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</si>
  <si>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</si>
  <si>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</si>
  <si>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</si>
  <si>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</si>
  <si>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</si>
  <si>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</si>
  <si>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</si>
  <si>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</si>
  <si>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</si>
  <si>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</si>
  <si>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</si>
  <si>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</si>
  <si>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</si>
  <si>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</si>
  <si>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</si>
  <si>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</si>
  <si>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</si>
  <si>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</si>
  <si>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</si>
  <si>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</si>
  <si>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</si>
  <si>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</si>
  <si>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</si>
  <si>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</si>
  <si>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</si>
  <si>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</si>
  <si>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</si>
  <si>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</si>
  <si>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</si>
  <si>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</si>
  <si>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</si>
  <si>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</si>
  <si>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</si>
  <si>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</si>
  <si>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</si>
  <si>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</si>
  <si>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</si>
  <si>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</si>
  <si>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</si>
  <si>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</si>
  <si>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</si>
  <si>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</si>
  <si>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</si>
  <si>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</si>
  <si>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</si>
  <si>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</si>
  <si>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</si>
  <si>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</si>
  <si>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</si>
  <si>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</si>
  <si>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</si>
  <si>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</si>
  <si>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</si>
  <si>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</si>
  <si>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</si>
  <si>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</si>
  <si>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</si>
  <si>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</si>
  <si>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</si>
  <si>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</si>
  <si>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</si>
  <si>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</si>
  <si>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</si>
  <si>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</si>
  <si>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</si>
  <si>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</si>
  <si>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</si>
  <si>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</si>
  <si>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</si>
  <si>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</si>
  <si>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</si>
  <si>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</si>
  <si>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</si>
  <si>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</si>
  <si>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</si>
  <si>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</si>
  <si>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</si>
  <si>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</si>
  <si>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</si>
  <si>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</si>
  <si>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</si>
  <si>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</si>
  <si>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</si>
  <si>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</si>
  <si>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</si>
  <si>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</si>
  <si>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</si>
  <si>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</si>
  <si>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</si>
  <si>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</si>
  <si>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</si>
  <si>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</si>
  <si>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</si>
  <si>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</si>
  <si>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</si>
  <si>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</si>
  <si>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</si>
  <si>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</si>
  <si>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</si>
  <si>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</si>
  <si>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</si>
  <si>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</si>
  <si>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</si>
  <si>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</si>
  <si>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</si>
  <si>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</si>
  <si>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</si>
  <si>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</si>
  <si>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</si>
  <si>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</si>
  <si>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</si>
  <si>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</si>
  <si>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</si>
  <si>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</si>
  <si>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</si>
  <si>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</si>
  <si>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</si>
  <si>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</si>
  <si>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</si>
  <si>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</si>
  <si>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</si>
  <si>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</si>
  <si>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</si>
  <si>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</si>
  <si>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</si>
  <si>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</si>
  <si>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</si>
  <si>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</si>
  <si>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</si>
  <si>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</si>
  <si>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</si>
  <si>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</si>
  <si>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</si>
  <si>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</si>
  <si>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</si>
  <si>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</si>
  <si>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</si>
  <si>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</si>
  <si>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</si>
  <si>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</si>
  <si>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</si>
  <si>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</si>
  <si>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</si>
  <si>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</si>
  <si>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</si>
  <si>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</si>
  <si>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</si>
  <si>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</si>
  <si>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</si>
  <si>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</si>
  <si>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</si>
  <si>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</si>
  <si>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</si>
  <si>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</si>
  <si>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</si>
  <si>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</si>
  <si>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</si>
  <si>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</si>
  <si>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</si>
  <si>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</si>
  <si>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</si>
  <si>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</si>
  <si>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</si>
  <si>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</si>
  <si>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</si>
  <si>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</si>
  <si>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</si>
  <si>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</si>
  <si>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</si>
  <si>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</si>
  <si>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</si>
  <si>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</si>
  <si>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</si>
  <si>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</si>
  <si>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</si>
  <si>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</si>
  <si>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</si>
  <si>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</si>
  <si>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</si>
  <si>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</si>
  <si>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</si>
  <si>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</si>
  <si>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</si>
  <si>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</si>
  <si>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</si>
  <si>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</si>
  <si>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</si>
  <si>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</si>
  <si>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</si>
  <si>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</si>
  <si>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</si>
  <si>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</si>
  <si>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</si>
  <si>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</si>
  <si>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</si>
  <si>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</si>
  <si>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</si>
  <si>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</si>
  <si>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</si>
  <si>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</si>
  <si>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</si>
  <si>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</si>
  <si>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</si>
  <si>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</si>
  <si>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</si>
  <si>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</si>
  <si>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</si>
  <si>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</si>
  <si>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</si>
  <si>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</si>
  <si>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</si>
  <si>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</si>
  <si>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</si>
  <si>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</si>
  <si>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</si>
  <si>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</si>
  <si>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</si>
  <si>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</si>
  <si>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</si>
  <si>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</si>
  <si>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</si>
  <si>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</si>
  <si>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</si>
  <si>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</si>
  <si>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</si>
  <si>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</si>
  <si>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</si>
  <si>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</si>
  <si>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</si>
  <si>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</si>
  <si>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</si>
  <si>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</si>
  <si>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</si>
  <si>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</si>
  <si>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</si>
  <si>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</si>
  <si>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</si>
  <si>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</si>
  <si>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</si>
  <si>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</si>
  <si>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</si>
  <si>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</si>
  <si>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</si>
  <si>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</si>
  <si>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</si>
  <si>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</si>
  <si>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</si>
  <si>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</si>
  <si>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</si>
  <si>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</si>
  <si>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</si>
  <si>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</si>
  <si>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</si>
  <si>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</si>
  <si>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</si>
  <si>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</si>
  <si>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</si>
  <si>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</si>
  <si>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</si>
  <si>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</si>
  <si>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</si>
  <si>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</si>
  <si>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</si>
  <si>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</si>
  <si>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</si>
  <si>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</si>
  <si>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</si>
  <si>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</si>
  <si>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</si>
  <si>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</si>
  <si>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</si>
  <si>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</si>
  <si>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</si>
  <si>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</si>
  <si>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</si>
  <si>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</si>
  <si>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</si>
  <si>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</si>
  <si>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</si>
  <si>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</si>
  <si>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</si>
  <si>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</si>
  <si>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</si>
  <si>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</si>
  <si>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</si>
  <si>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</si>
  <si>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</si>
  <si>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</si>
  <si>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</si>
  <si>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</si>
  <si>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</si>
  <si>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</si>
  <si>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</si>
  <si>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</si>
  <si>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</si>
  <si>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</si>
  <si>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</si>
  <si>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</si>
  <si>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</si>
  <si>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</si>
  <si>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</si>
  <si>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</si>
  <si>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</si>
  <si>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</si>
  <si>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</si>
  <si>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</si>
  <si>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</si>
  <si>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</si>
  <si>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</si>
  <si>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</si>
  <si>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</si>
  <si>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</si>
  <si>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</si>
  <si>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</si>
  <si>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</si>
  <si>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</si>
  <si>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</si>
  <si>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</si>
  <si>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</si>
  <si>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</si>
  <si>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</si>
  <si>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</si>
  <si>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</si>
  <si>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</si>
  <si>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</si>
  <si>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</si>
  <si>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</si>
  <si>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</si>
  <si>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</si>
  <si>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</si>
  <si>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</si>
  <si>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</si>
  <si>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</si>
  <si>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</si>
  <si>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</si>
  <si>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</si>
  <si>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</si>
  <si>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</si>
  <si>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</si>
  <si>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</si>
  <si>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</si>
  <si>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</si>
  <si>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</si>
  <si>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</si>
  <si>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</si>
  <si>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</si>
  <si>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</si>
  <si>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</si>
  <si>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</si>
  <si>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</si>
  <si>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</si>
  <si>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</si>
  <si>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</si>
  <si>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</si>
  <si>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</si>
  <si>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</si>
  <si>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</si>
  <si>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</si>
  <si>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</si>
  <si>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</si>
  <si>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</si>
  <si>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</si>
  <si>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</si>
  <si>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</si>
  <si>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</si>
  <si>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</si>
  <si>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</si>
  <si>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</si>
  <si>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</si>
  <si>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</si>
  <si>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</si>
  <si>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</si>
  <si>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</si>
  <si>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</si>
  <si>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</si>
  <si>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</si>
  <si>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</si>
  <si>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</si>
  <si>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</si>
  <si>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</si>
  <si>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</si>
  <si>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</si>
  <si>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</si>
  <si>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</si>
  <si>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</si>
  <si>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</si>
  <si>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</si>
  <si>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</si>
  <si>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</si>
  <si>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</si>
  <si>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</si>
  <si>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</si>
  <si>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</si>
  <si>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</si>
  <si>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</si>
  <si>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</si>
  <si>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</si>
  <si>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</si>
  <si>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</si>
  <si>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</si>
  <si>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</si>
  <si>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</si>
  <si>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</si>
  <si>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</si>
  <si>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</si>
  <si>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</si>
  <si>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</si>
  <si>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</si>
  <si>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</si>
  <si>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</si>
  <si>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</si>
  <si>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</si>
  <si>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</si>
  <si>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</si>
  <si>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</si>
  <si>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</si>
  <si>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</si>
  <si>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</si>
  <si>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</si>
  <si>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</si>
  <si>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</si>
  <si>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</si>
  <si>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</si>
  <si>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</si>
  <si>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</si>
  <si>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</si>
  <si>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</si>
  <si>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</si>
  <si>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</si>
  <si>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</si>
  <si>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</si>
  <si>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</si>
  <si>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</si>
  <si>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</si>
  <si>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</si>
  <si>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</si>
  <si>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</si>
  <si>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</si>
  <si>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</si>
  <si>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</si>
  <si>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</si>
  <si>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</si>
  <si>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</si>
  <si>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</si>
  <si>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</si>
  <si>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</si>
  <si>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</si>
  <si>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</si>
  <si>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</si>
  <si>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</si>
  <si>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</si>
  <si>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</si>
  <si>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</si>
  <si>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</si>
  <si>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</si>
  <si>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</si>
  <si>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</si>
  <si>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</si>
  <si>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</si>
  <si>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</si>
  <si>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</si>
  <si>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</si>
  <si>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</si>
  <si>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</si>
  <si>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</si>
  <si>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</si>
  <si>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</si>
  <si>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</si>
  <si>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</si>
  <si>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</si>
  <si>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</si>
  <si>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</si>
  <si>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</si>
  <si>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</si>
  <si>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</si>
  <si>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</si>
  <si>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</si>
  <si>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</si>
  <si>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</si>
  <si>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</si>
  <si>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</si>
  <si>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</si>
  <si>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</si>
  <si>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</si>
  <si>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</si>
  <si>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</si>
  <si>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</si>
  <si>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</si>
  <si>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</si>
  <si>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</si>
  <si>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</si>
  <si>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</si>
  <si>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</si>
  <si>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</si>
  <si>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</si>
  <si>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</si>
  <si>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</si>
  <si>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</si>
  <si>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</si>
  <si>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</si>
  <si>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</si>
  <si>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</si>
  <si>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</si>
  <si>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</si>
  <si>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</si>
  <si>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</si>
  <si>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</si>
  <si>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</si>
  <si>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</si>
  <si>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</si>
  <si>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</si>
  <si>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</si>
  <si>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</si>
  <si>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</si>
  <si>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</si>
  <si>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</si>
  <si>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</si>
  <si>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</si>
  <si>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</si>
  <si>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</si>
  <si>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</si>
  <si>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</si>
  <si>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</si>
  <si>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</si>
  <si>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</si>
  <si>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</si>
  <si>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</si>
  <si>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</si>
  <si>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</si>
  <si>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</si>
  <si>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</si>
  <si>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</si>
  <si>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</si>
  <si>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</si>
  <si>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</si>
  <si>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</si>
  <si>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</si>
  <si>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</si>
  <si>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</si>
  <si>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</si>
  <si>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</si>
  <si>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</si>
  <si>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</si>
  <si>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</si>
  <si>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</si>
  <si>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</si>
  <si>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</si>
  <si>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</si>
  <si>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</si>
  <si>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</si>
  <si>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</si>
  <si>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</si>
  <si>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</si>
  <si>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</si>
  <si>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</si>
  <si>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</si>
  <si>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</si>
  <si>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</si>
  <si>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</si>
  <si>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</si>
  <si>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</si>
  <si>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</si>
  <si>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</si>
  <si>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</si>
  <si>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</si>
  <si>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</si>
  <si>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</si>
  <si>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</si>
  <si>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</si>
  <si>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</si>
  <si>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</si>
  <si>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</si>
  <si>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</si>
  <si>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</si>
  <si>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</si>
  <si>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</si>
  <si>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</si>
  <si>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</si>
  <si>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</si>
  <si>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</si>
  <si>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</si>
  <si>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</si>
  <si>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</si>
  <si>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</si>
  <si>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</si>
  <si>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</si>
  <si>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</si>
  <si>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</si>
  <si>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</si>
  <si>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</si>
  <si>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</si>
  <si>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</si>
  <si>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</si>
  <si>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</si>
  <si>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</si>
  <si>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</si>
  <si>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</si>
  <si>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</si>
  <si>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</si>
  <si>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</si>
  <si>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</si>
  <si>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Electro-Spec, Inc.</t>
  </si>
  <si>
    <t>00-641-4619</t>
  </si>
  <si>
    <t>DUNNS</t>
  </si>
  <si>
    <t>1800 Commerce Parkway, Franklin, IN 46131</t>
  </si>
  <si>
    <t>Jamie Sanders</t>
  </si>
  <si>
    <t>jsanders@electro-spec.com</t>
  </si>
  <si>
    <t>317-739-0922</t>
  </si>
  <si>
    <t>Jeff Smith</t>
  </si>
  <si>
    <t>President</t>
  </si>
  <si>
    <t>jsmith@electro-spec.com</t>
  </si>
  <si>
    <t>317-739-0924</t>
  </si>
  <si>
    <t>Cobalt-hardened gold plating</t>
  </si>
  <si>
    <t>Copper plating</t>
  </si>
  <si>
    <t>Nickel plating</t>
  </si>
  <si>
    <t>100%</t>
  </si>
  <si>
    <t>www.electro-spec.com</t>
  </si>
  <si>
    <t>Electroplating of ferrous and non-ferrous metals, passivation, degreasing, &amp; heat treating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</si>
</sst>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lectro-spec.com/" TargetMode="External"/><Relationship Id="rId2" Type="http://schemas.openxmlformats.org/officeDocument/2006/relationships/hyperlink" Target="mailto:jsmith@electro-spec.com" TargetMode="External"/><Relationship Id="rId1" Type="http://schemas.openxmlformats.org/officeDocument/2006/relationships/hyperlink" Target="mailto:jsanders@electro-spe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3DA459D-D7C3-4CCC-B604-935407F97737}"/>
    </customSheetView>
    <customSheetView guid="{4BDF1A28-30D5-449D-B20E-D6C97EF9FAE1}" showAutoFilter="1">
      <selection activeCell="C174" sqref="C174"/>
      <pageMargins left="0" right="0" top="0" bottom="0" header="0" footer="0"/>
      <pageSetup paperSize="9" orientation="portrait"/>
      <autoFilter ref="B1:N1" xr:uid="{61C9A3F2-D583-46A8-AB5D-8BF4013B418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0B1E659-CECF-44F2-ABDF-D95BDF639CD8}"/>
    </customSheetView>
    <customSheetView guid="{4BDF1A28-30D5-449D-B20E-D6C97EF9FAE1}" showAutoFilter="1">
      <selection activeCell="C1" sqref="C1:D65536"/>
      <pageMargins left="0" right="0" top="0" bottom="0" header="0" footer="0"/>
      <pageSetup orientation="portrait"/>
      <autoFilter ref="B1:C1" xr:uid="{55ECF9EC-47BC-44C6-B992-DA6DAAC49DE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1" sqref="D11:J1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20177</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20163</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20164</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20168</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20169</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20170</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20171</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45947</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20172</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20173</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20174</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20172</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t="s">
        <v>20173</v>
      </c>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20174</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20175</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20175</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20175</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20176</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9BC0778-C93F-4905-907B-258901A1FF43}"/>
    <hyperlink ref="D24" r:id="rId2" xr:uid="{6C6B6C98-FE03-4DBB-8DB1-79E3263BA997}"/>
    <hyperlink ref="G117" r:id="rId3" xr:uid="{50324C6C-D3F7-4B37-9144-26163AA5EB1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J10"/>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t="s">
        <v>102</v>
      </c>
      <c r="B5" s="302" t="s">
        <v>40</v>
      </c>
      <c r="C5" s="151" t="s">
        <v>100</v>
      </c>
      <c r="D5" s="148" t="s">
        <v>100</v>
      </c>
      <c r="E5" s="148" t="s">
        <v>101</v>
      </c>
      <c r="F5" s="148" t="s">
        <v>102</v>
      </c>
      <c r="G5" s="148" t="s">
        <v>12</v>
      </c>
      <c r="H5" s="204">
        <v>0</v>
      </c>
      <c r="I5" s="205" t="s">
        <v>103</v>
      </c>
      <c r="J5" s="205" t="s">
        <v>104</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IF(C5="",NA(),MATCH($B5&amp;$C5,'Smelter Look-up'!$J:$J,0))</f>
        <v>152</v>
      </c>
      <c r="X5" s="169">
        <f t="shared" ref="X5:X12" si="1">IF(AND(C5="Smelter not listed",OR(LEN(D5)=0,LEN(E5)=0)),1,0)</f>
        <v>0</v>
      </c>
      <c r="AB5" s="312" t="str">
        <f t="shared" ref="AB5:AB12" si="2">IF(C5="","",B5)</f>
        <v>Cobalt</v>
      </c>
      <c r="AC5" s="169" t="str">
        <f>B5</f>
        <v>Cobalt</v>
      </c>
      <c r="AD5" s="169" t="str">
        <f>IF(C5="Smelter not listed",D5,C5)</f>
        <v>Umicore Finland Oy</v>
      </c>
    </row>
    <row r="6" spans="1:34" s="169" customFormat="1" ht="38.25">
      <c r="A6" s="196" t="s">
        <v>18824</v>
      </c>
      <c r="B6" s="302" t="s">
        <v>18684</v>
      </c>
      <c r="C6" s="151" t="s">
        <v>18823</v>
      </c>
      <c r="D6" s="148" t="s">
        <v>18823</v>
      </c>
      <c r="E6" s="148" t="s">
        <v>305</v>
      </c>
      <c r="F6" s="148" t="s">
        <v>18824</v>
      </c>
      <c r="G6" s="148" t="s">
        <v>12</v>
      </c>
      <c r="H6" s="204">
        <v>0</v>
      </c>
      <c r="I6" s="205" t="s">
        <v>19325</v>
      </c>
      <c r="J6" s="205" t="s">
        <v>12252</v>
      </c>
      <c r="K6" s="149"/>
      <c r="L6" s="149"/>
      <c r="M6" s="149"/>
      <c r="N6" s="149"/>
      <c r="O6" s="149"/>
      <c r="P6" s="207"/>
      <c r="Q6" s="150"/>
      <c r="R6" s="148" t="str">
        <f ca="1">IF(ISERROR($V6),"",OFFSET('Smelter Look-up'!$C$4,$V6-4,0)&amp;"")</f>
        <v>Vedanta Limited-Sterlite Copper</v>
      </c>
      <c r="S6" s="154" t="str">
        <f t="shared" ca="1" si="0"/>
        <v>IN</v>
      </c>
      <c r="T6" s="154" t="str">
        <f ca="1">IF(B6="","",IF(ISERROR(MATCH($J6,SorP!$B$1:$B$6226,0)),"",INDIRECT("'SorP'!$A$"&amp;MATCH($S6&amp;$J6,SorP!C:C,0))))</f>
        <v>IN-DH</v>
      </c>
      <c r="U6" s="167"/>
      <c r="V6" s="168">
        <f>IF(C6="",NA(),MATCH($B6&amp;$C6,'Smelter Look-up'!$J:$J,0))</f>
        <v>307</v>
      </c>
      <c r="X6" s="169">
        <f t="shared" si="1"/>
        <v>0</v>
      </c>
      <c r="AB6" s="312" t="str">
        <f t="shared" si="2"/>
        <v>Copper</v>
      </c>
      <c r="AC6" s="169" t="str">
        <f t="shared" ref="AC6:AC69" si="3">B6</f>
        <v>Copper</v>
      </c>
      <c r="AD6" s="169" t="str">
        <f t="shared" ref="AD6:AD69" si="4">IF(C6="Smelter not listed",D6,C6)</f>
        <v>Vedanta Limited-Sterlite Copper</v>
      </c>
    </row>
    <row r="7" spans="1:34" s="169" customFormat="1" ht="20.25">
      <c r="A7" s="196" t="s">
        <v>18917</v>
      </c>
      <c r="B7" s="302" t="s">
        <v>18685</v>
      </c>
      <c r="C7" s="151" t="s">
        <v>86</v>
      </c>
      <c r="D7" s="148" t="s">
        <v>86</v>
      </c>
      <c r="E7" s="148" t="s">
        <v>87</v>
      </c>
      <c r="F7" s="148" t="s">
        <v>18917</v>
      </c>
      <c r="G7" s="148" t="s">
        <v>12</v>
      </c>
      <c r="H7" s="204">
        <v>0</v>
      </c>
      <c r="I7" s="205" t="s">
        <v>89</v>
      </c>
      <c r="J7" s="205" t="s">
        <v>89</v>
      </c>
      <c r="K7" s="149"/>
      <c r="L7" s="149"/>
      <c r="M7" s="149"/>
      <c r="N7" s="149"/>
      <c r="O7" s="149"/>
      <c r="P7" s="207"/>
      <c r="Q7" s="150"/>
      <c r="R7" s="148" t="str">
        <f ca="1">IF(ISERROR($V7),"",OFFSET('Smelter Look-up'!$C$4,$V7-4,0)&amp;"")</f>
        <v>Dynatec Madagascar Company</v>
      </c>
      <c r="S7" s="154" t="str">
        <f t="shared" ca="1" si="0"/>
        <v>MG</v>
      </c>
      <c r="T7" s="154" t="str">
        <f ca="1">IF(B7="","",IF(ISERROR(MATCH($J7,SorP!$B$1:$B$6226,0)),"",INDIRECT("'SorP'!$A$"&amp;MATCH($S7&amp;$J7,SorP!C:C,0))))</f>
        <v>MG-A</v>
      </c>
      <c r="U7" s="167"/>
      <c r="V7" s="168">
        <f>IF(C7="",NA(),MATCH($B7&amp;$C7,'Smelter Look-up'!$J:$J,0))</f>
        <v>433</v>
      </c>
      <c r="X7" s="169">
        <f t="shared" si="1"/>
        <v>0</v>
      </c>
      <c r="AB7" s="312" t="str">
        <f t="shared" si="2"/>
        <v>Nickel</v>
      </c>
      <c r="AC7" s="169" t="str">
        <f t="shared" si="3"/>
        <v>Nickel</v>
      </c>
      <c r="AD7" s="169" t="str">
        <f t="shared" si="4"/>
        <v>Dynatec Madagascar Company</v>
      </c>
    </row>
    <row r="8" spans="1:34" s="169" customFormat="1" ht="20.25">
      <c r="A8" s="196" t="s">
        <v>18918</v>
      </c>
      <c r="B8" s="302" t="s">
        <v>18685</v>
      </c>
      <c r="C8" s="151" t="s">
        <v>12274</v>
      </c>
      <c r="D8" s="148" t="s">
        <v>12274</v>
      </c>
      <c r="E8" s="148" t="s">
        <v>81</v>
      </c>
      <c r="F8" s="148" t="s">
        <v>18918</v>
      </c>
      <c r="G8" s="148" t="s">
        <v>12</v>
      </c>
      <c r="H8" s="204">
        <v>0</v>
      </c>
      <c r="I8" s="205" t="s">
        <v>12276</v>
      </c>
      <c r="J8" s="205" t="s">
        <v>6458</v>
      </c>
      <c r="K8" s="149"/>
      <c r="L8" s="149"/>
      <c r="M8" s="149"/>
      <c r="N8" s="149"/>
      <c r="O8" s="149"/>
      <c r="P8" s="207"/>
      <c r="Q8" s="150"/>
      <c r="R8" s="148" t="str">
        <f ca="1">IF(ISERROR($V8),"",OFFSET('Smelter Look-up'!$C$4,$V8-4,0)&amp;"")</f>
        <v>Ecopro Materials Co., Ltd.</v>
      </c>
      <c r="S8" s="154" t="str">
        <f t="shared" ca="1" si="0"/>
        <v>KR</v>
      </c>
      <c r="T8" s="154" t="str">
        <f ca="1">IF(B8="","",IF(ISERROR(MATCH($J8,SorP!$B$1:$B$6226,0)),"",INDIRECT("'SorP'!$A$"&amp;MATCH($S8&amp;$J8,SorP!C:C,0))))</f>
        <v>KR-43</v>
      </c>
      <c r="U8" s="167"/>
      <c r="V8" s="168">
        <f>IF(C8="",NA(),MATCH($B8&amp;$C8,'Smelter Look-up'!$J:$J,0))</f>
        <v>434</v>
      </c>
      <c r="X8" s="169">
        <f t="shared" si="1"/>
        <v>0</v>
      </c>
      <c r="AB8" s="312" t="str">
        <f t="shared" si="2"/>
        <v>Nickel</v>
      </c>
      <c r="AC8" s="169" t="str">
        <f t="shared" si="3"/>
        <v>Nickel</v>
      </c>
      <c r="AD8" s="169" t="str">
        <f t="shared" si="4"/>
        <v>Ecopro Materials Co., Ltd.</v>
      </c>
    </row>
    <row r="9" spans="1:34" s="169" customFormat="1" ht="25.5">
      <c r="A9" s="196" t="s">
        <v>18925</v>
      </c>
      <c r="B9" s="302" t="s">
        <v>18685</v>
      </c>
      <c r="C9" s="151" t="s">
        <v>132</v>
      </c>
      <c r="D9" s="148" t="s">
        <v>132</v>
      </c>
      <c r="E9" s="148" t="s">
        <v>133</v>
      </c>
      <c r="F9" s="148" t="s">
        <v>18925</v>
      </c>
      <c r="G9" s="148" t="s">
        <v>12</v>
      </c>
      <c r="H9" s="204">
        <v>0</v>
      </c>
      <c r="I9" s="205" t="s">
        <v>135</v>
      </c>
      <c r="J9" s="205" t="s">
        <v>6104</v>
      </c>
      <c r="K9" s="149"/>
      <c r="L9" s="149"/>
      <c r="M9" s="149"/>
      <c r="N9" s="149"/>
      <c r="O9" s="149"/>
      <c r="P9" s="207"/>
      <c r="Q9" s="150"/>
      <c r="R9" s="148" t="str">
        <f ca="1">IF(ISERROR($V9),"",OFFSET('Smelter Look-up'!$C$4,$V9-4,0)&amp;"")</f>
        <v>Harima Refinery, Sumitomo Metal Mining</v>
      </c>
      <c r="S9" s="154" t="str">
        <f t="shared" ca="1" si="0"/>
        <v>JP</v>
      </c>
      <c r="T9" s="154" t="str">
        <f ca="1">IF(B9="","",IF(ISERROR(MATCH($J9,SorP!$B$1:$B$6226,0)),"",INDIRECT("'SorP'!$A$"&amp;MATCH($S9&amp;$J9,SorP!C:C,0))))</f>
        <v>JP-28</v>
      </c>
      <c r="U9" s="167"/>
      <c r="V9" s="168">
        <f>IF(C9="",NA(),MATCH($B9&amp;$C9,'Smelter Look-up'!$J:$J,0))</f>
        <v>445</v>
      </c>
      <c r="X9" s="169">
        <f t="shared" si="1"/>
        <v>0</v>
      </c>
      <c r="AB9" s="312" t="str">
        <f t="shared" si="2"/>
        <v>Nickel</v>
      </c>
      <c r="AC9" s="169" t="str">
        <f t="shared" si="3"/>
        <v>Nickel</v>
      </c>
      <c r="AD9" s="169" t="str">
        <f t="shared" si="4"/>
        <v>Harima Refinery, Sumitomo Metal Mining</v>
      </c>
    </row>
    <row r="10" spans="1:34" s="169" customFormat="1" ht="38.25">
      <c r="A10" s="196" t="s">
        <v>18931</v>
      </c>
      <c r="B10" s="302" t="s">
        <v>18685</v>
      </c>
      <c r="C10" s="151" t="s">
        <v>18930</v>
      </c>
      <c r="D10" s="148" t="s">
        <v>18930</v>
      </c>
      <c r="E10" s="148" t="s">
        <v>156</v>
      </c>
      <c r="F10" s="148" t="s">
        <v>18931</v>
      </c>
      <c r="G10" s="148" t="s">
        <v>12</v>
      </c>
      <c r="H10" s="204">
        <v>0</v>
      </c>
      <c r="I10" s="205" t="s">
        <v>158</v>
      </c>
      <c r="J10" s="205" t="s">
        <v>159</v>
      </c>
      <c r="K10" s="149"/>
      <c r="L10" s="149"/>
      <c r="M10" s="149"/>
      <c r="N10" s="149"/>
      <c r="O10" s="149"/>
      <c r="P10" s="207"/>
      <c r="Q10" s="150"/>
      <c r="R10" s="148" t="str">
        <f ca="1">IF(ISERROR($V10),"",OFFSET('Smelter Look-up'!$C$4,$V10-4,0)&amp;"")</f>
        <v>ICoNiChem Widnes Ltd</v>
      </c>
      <c r="S10" s="154" t="str">
        <f t="shared" ca="1" si="0"/>
        <v>GB</v>
      </c>
      <c r="T10" s="154" t="str">
        <f ca="1">IF(B10="","",IF(ISERROR(MATCH($J10,SorP!$B$1:$B$6226,0)),"",INDIRECT("'SorP'!$A$"&amp;MATCH($S10&amp;$J10,SorP!C:C,0))))</f>
        <v>GB-CHW</v>
      </c>
      <c r="U10" s="167"/>
      <c r="V10" s="168">
        <f>IF(C10="",NA(),MATCH($B10&amp;$C10,'Smelter Look-up'!$J:$J,0))</f>
        <v>449</v>
      </c>
      <c r="X10" s="169">
        <f t="shared" si="1"/>
        <v>0</v>
      </c>
      <c r="AB10" s="312" t="str">
        <f t="shared" si="2"/>
        <v>Nickel</v>
      </c>
      <c r="AC10" s="169" t="str">
        <f t="shared" si="3"/>
        <v>Nickel</v>
      </c>
      <c r="AD10" s="169" t="str">
        <f t="shared" si="4"/>
        <v>IconiChem</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Electro-Spec,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Electroplating of ferrous and non-ferrous metals, passivation, degreasing, &amp; heat treating</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Jamie Sanders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jsanders@electro-spec.com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317-739-0922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Jeff Smith</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jsmith@electro-spec.com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www.electro-spec.com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Jamie Sanders</cp:lastModifiedBy>
  <cp:revision/>
  <dcterms:created xsi:type="dcterms:W3CDTF">2010-06-21T21:00:23Z</dcterms:created>
  <dcterms:modified xsi:type="dcterms:W3CDTF">2026-02-06T18:54:51Z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